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330" tabRatio="629" activeTab="1"/>
  </bookViews>
  <sheets>
    <sheet name="Меню по дням" sheetId="12" r:id="rId1"/>
    <sheet name="день 1" sheetId="1" r:id="rId2"/>
    <sheet name="день 2" sheetId="8" r:id="rId3"/>
    <sheet name="день 3" sheetId="17" r:id="rId4"/>
    <sheet name="день 4" sheetId="19" r:id="rId5"/>
    <sheet name="день 5" sheetId="20" r:id="rId6"/>
    <sheet name="день 6" sheetId="21" r:id="rId7"/>
    <sheet name="день 7" sheetId="23" r:id="rId8"/>
    <sheet name="день 8" sheetId="24" r:id="rId9"/>
    <sheet name="день 9" sheetId="25" r:id="rId10"/>
    <sheet name="день 10" sheetId="26" r:id="rId11"/>
  </sheets>
  <definedNames>
    <definedName name="_xlnm.Print_Area" localSheetId="1">'день 1'!$A$1:$N$31</definedName>
    <definedName name="_xlnm.Print_Area" localSheetId="2">'день 2'!$A$1:$N$34</definedName>
    <definedName name="_xlnm.Print_Area" localSheetId="0">'Меню по дням'!$A$3:$Q$37</definedName>
  </definedNames>
  <calcPr calcId="144525"/>
</workbook>
</file>

<file path=xl/calcChain.xml><?xml version="1.0" encoding="utf-8"?>
<calcChain xmlns="http://schemas.openxmlformats.org/spreadsheetml/2006/main">
  <c r="Q27" i="12" l="1"/>
  <c r="C31" i="12" l="1"/>
  <c r="J8" i="1"/>
  <c r="I8" i="1"/>
  <c r="H8" i="1"/>
  <c r="G8" i="1"/>
  <c r="F8" i="1"/>
  <c r="E8" i="1"/>
  <c r="N9" i="19"/>
  <c r="M9" i="19"/>
  <c r="J9" i="19"/>
  <c r="I9" i="19"/>
  <c r="H9" i="19"/>
  <c r="G9" i="19"/>
  <c r="F9" i="19"/>
  <c r="E9" i="19"/>
  <c r="K9" i="19" s="1"/>
  <c r="K27" i="1"/>
  <c r="L27" i="1"/>
  <c r="M18" i="17"/>
  <c r="I18" i="17"/>
  <c r="G18" i="17"/>
  <c r="E18" i="17"/>
  <c r="C25" i="8" l="1"/>
  <c r="D25" i="8"/>
  <c r="L26" i="26"/>
  <c r="K26" i="26"/>
  <c r="L28" i="24"/>
  <c r="K28" i="24"/>
  <c r="M28" i="26"/>
  <c r="I28" i="26"/>
  <c r="G28" i="26"/>
  <c r="E28" i="26"/>
  <c r="N19" i="26"/>
  <c r="M19" i="26"/>
  <c r="J19" i="26"/>
  <c r="I19" i="26"/>
  <c r="H19" i="26"/>
  <c r="G19" i="26"/>
  <c r="F19" i="26"/>
  <c r="L19" i="26" s="1"/>
  <c r="E19" i="26"/>
  <c r="K19" i="26"/>
  <c r="N18" i="26"/>
  <c r="M18" i="26"/>
  <c r="N17" i="26"/>
  <c r="M17" i="26"/>
  <c r="J17" i="26"/>
  <c r="I17" i="26"/>
  <c r="K17" i="26" s="1"/>
  <c r="H17" i="26"/>
  <c r="L17" i="26" s="1"/>
  <c r="G17" i="26"/>
  <c r="F17" i="26"/>
  <c r="E17" i="26"/>
  <c r="J13" i="26"/>
  <c r="L13" i="26" s="1"/>
  <c r="I13" i="26"/>
  <c r="K13" i="26" s="1"/>
  <c r="L10" i="26"/>
  <c r="K10" i="26"/>
  <c r="L9" i="26"/>
  <c r="K9" i="26"/>
  <c r="J8" i="26"/>
  <c r="I8" i="26"/>
  <c r="H8" i="26"/>
  <c r="G8" i="26"/>
  <c r="F8" i="26"/>
  <c r="L8" i="26" s="1"/>
  <c r="E8" i="26"/>
  <c r="N7" i="26"/>
  <c r="N11" i="26" s="1"/>
  <c r="M7" i="26"/>
  <c r="J7" i="26"/>
  <c r="I7" i="26"/>
  <c r="H7" i="26"/>
  <c r="G7" i="26"/>
  <c r="F7" i="26"/>
  <c r="E7" i="26"/>
  <c r="K7" i="26" s="1"/>
  <c r="D28" i="26"/>
  <c r="C28" i="26"/>
  <c r="L27" i="26"/>
  <c r="K27" i="26"/>
  <c r="N25" i="26"/>
  <c r="M25" i="26"/>
  <c r="J25" i="26"/>
  <c r="I25" i="26"/>
  <c r="H25" i="26"/>
  <c r="G25" i="26"/>
  <c r="F25" i="26"/>
  <c r="E25" i="26"/>
  <c r="K25" i="26" s="1"/>
  <c r="D22" i="26"/>
  <c r="C22" i="26"/>
  <c r="J21" i="26"/>
  <c r="I21" i="26"/>
  <c r="H21" i="26"/>
  <c r="G21" i="26"/>
  <c r="F21" i="26"/>
  <c r="E21" i="26"/>
  <c r="K21" i="26" s="1"/>
  <c r="N20" i="26"/>
  <c r="M20" i="26"/>
  <c r="J20" i="26"/>
  <c r="I20" i="26"/>
  <c r="H20" i="26"/>
  <c r="G20" i="26"/>
  <c r="F20" i="26"/>
  <c r="E20" i="26"/>
  <c r="N14" i="26"/>
  <c r="M14" i="26"/>
  <c r="J14" i="26"/>
  <c r="I14" i="26"/>
  <c r="H14" i="26"/>
  <c r="G14" i="26"/>
  <c r="F14" i="26"/>
  <c r="L14" i="26" s="1"/>
  <c r="E14" i="26"/>
  <c r="D14" i="26"/>
  <c r="C14" i="26"/>
  <c r="M11" i="26"/>
  <c r="D11" i="26"/>
  <c r="C11" i="26"/>
  <c r="J11" i="26"/>
  <c r="I11" i="26"/>
  <c r="H11" i="26"/>
  <c r="G11" i="26"/>
  <c r="F11" i="26"/>
  <c r="E11" i="26"/>
  <c r="D30" i="25"/>
  <c r="C30" i="25"/>
  <c r="L29" i="25"/>
  <c r="K29" i="25"/>
  <c r="L28" i="25"/>
  <c r="K28" i="25"/>
  <c r="N30" i="25"/>
  <c r="M30" i="25"/>
  <c r="J30" i="25"/>
  <c r="I30" i="25"/>
  <c r="H30" i="25"/>
  <c r="G30" i="25"/>
  <c r="F30" i="25"/>
  <c r="E30" i="25"/>
  <c r="N23" i="25"/>
  <c r="M23" i="25"/>
  <c r="J23" i="25"/>
  <c r="I23" i="25"/>
  <c r="H23" i="25"/>
  <c r="G23" i="25"/>
  <c r="F23" i="25"/>
  <c r="E23" i="25"/>
  <c r="I25" i="25"/>
  <c r="H25" i="25"/>
  <c r="E25" i="25"/>
  <c r="N17" i="25"/>
  <c r="N25" i="25" s="1"/>
  <c r="M17" i="25"/>
  <c r="J17" i="25"/>
  <c r="I17" i="25"/>
  <c r="H17" i="25"/>
  <c r="G17" i="25"/>
  <c r="F17" i="25"/>
  <c r="L17" i="25" s="1"/>
  <c r="E17" i="25"/>
  <c r="J7" i="25"/>
  <c r="J11" i="25" s="1"/>
  <c r="I7" i="25"/>
  <c r="I11" i="25" s="1"/>
  <c r="H7" i="25"/>
  <c r="H11" i="25" s="1"/>
  <c r="G7" i="25"/>
  <c r="G11" i="25" s="1"/>
  <c r="F7" i="25"/>
  <c r="E7" i="25"/>
  <c r="J24" i="25"/>
  <c r="I24" i="25"/>
  <c r="H24" i="25"/>
  <c r="G24" i="25"/>
  <c r="F24" i="25"/>
  <c r="E24" i="25"/>
  <c r="N22" i="25"/>
  <c r="M22" i="25"/>
  <c r="J22" i="25"/>
  <c r="I22" i="25"/>
  <c r="H22" i="25"/>
  <c r="G22" i="25"/>
  <c r="F22" i="25"/>
  <c r="E22" i="25"/>
  <c r="L21" i="25"/>
  <c r="K21" i="25"/>
  <c r="N19" i="25"/>
  <c r="M19" i="25"/>
  <c r="J19" i="25"/>
  <c r="I19" i="25"/>
  <c r="H19" i="25"/>
  <c r="G19" i="25"/>
  <c r="F19" i="25"/>
  <c r="E19" i="25"/>
  <c r="H18" i="25"/>
  <c r="G18" i="25"/>
  <c r="F18" i="25"/>
  <c r="L18" i="25" s="1"/>
  <c r="E18" i="25"/>
  <c r="K18" i="25" s="1"/>
  <c r="M25" i="25"/>
  <c r="N14" i="25"/>
  <c r="M14" i="25"/>
  <c r="J14" i="25"/>
  <c r="I14" i="25"/>
  <c r="H14" i="25"/>
  <c r="G14" i="25"/>
  <c r="F14" i="25"/>
  <c r="E14" i="25"/>
  <c r="D14" i="25"/>
  <c r="C14" i="25"/>
  <c r="L13" i="25"/>
  <c r="K13" i="25"/>
  <c r="N11" i="25"/>
  <c r="M11" i="25"/>
  <c r="D11" i="25"/>
  <c r="C11" i="25"/>
  <c r="L10" i="25"/>
  <c r="K10" i="25"/>
  <c r="L9" i="25"/>
  <c r="K9" i="25"/>
  <c r="J8" i="25"/>
  <c r="I8" i="25"/>
  <c r="H8" i="25"/>
  <c r="G8" i="25"/>
  <c r="F8" i="25"/>
  <c r="E8" i="25"/>
  <c r="E11" i="25" s="1"/>
  <c r="F11" i="25"/>
  <c r="N26" i="24"/>
  <c r="N30" i="24" s="1"/>
  <c r="M26" i="24"/>
  <c r="J26" i="24"/>
  <c r="I26" i="24"/>
  <c r="H26" i="24"/>
  <c r="G26" i="24"/>
  <c r="F26" i="24"/>
  <c r="E26" i="24"/>
  <c r="J27" i="24"/>
  <c r="I27" i="24"/>
  <c r="H27" i="24"/>
  <c r="G27" i="24"/>
  <c r="F27" i="24"/>
  <c r="E27" i="24"/>
  <c r="N19" i="24"/>
  <c r="M19" i="24"/>
  <c r="J19" i="24"/>
  <c r="I19" i="24"/>
  <c r="H19" i="24"/>
  <c r="G19" i="24"/>
  <c r="F19" i="24"/>
  <c r="L19" i="24" s="1"/>
  <c r="E19" i="24"/>
  <c r="K19" i="24" s="1"/>
  <c r="N18" i="24"/>
  <c r="N24" i="24" s="1"/>
  <c r="M18" i="24"/>
  <c r="J18" i="24"/>
  <c r="I18" i="24"/>
  <c r="H18" i="24"/>
  <c r="G18" i="24"/>
  <c r="F18" i="24"/>
  <c r="E18" i="24"/>
  <c r="N16" i="24"/>
  <c r="M16" i="24"/>
  <c r="J16" i="24"/>
  <c r="I16" i="24"/>
  <c r="H16" i="24"/>
  <c r="G16" i="24"/>
  <c r="F16" i="24"/>
  <c r="F24" i="24" s="1"/>
  <c r="E16" i="24"/>
  <c r="J7" i="24"/>
  <c r="J10" i="24" s="1"/>
  <c r="I7" i="24"/>
  <c r="H7" i="24"/>
  <c r="H10" i="24" s="1"/>
  <c r="G7" i="24"/>
  <c r="F7" i="24"/>
  <c r="F10" i="24" s="1"/>
  <c r="E7" i="24"/>
  <c r="D30" i="24"/>
  <c r="C30" i="24"/>
  <c r="L29" i="24"/>
  <c r="K29" i="24"/>
  <c r="M30" i="24"/>
  <c r="I30" i="24"/>
  <c r="G30" i="24"/>
  <c r="E30" i="24"/>
  <c r="D24" i="24"/>
  <c r="C24" i="24"/>
  <c r="J23" i="24"/>
  <c r="I23" i="24"/>
  <c r="H23" i="24"/>
  <c r="G23" i="24"/>
  <c r="F23" i="24"/>
  <c r="E23" i="24"/>
  <c r="K23" i="24" s="1"/>
  <c r="N22" i="24"/>
  <c r="M22" i="24"/>
  <c r="J22" i="24"/>
  <c r="I22" i="24"/>
  <c r="H22" i="24"/>
  <c r="G22" i="24"/>
  <c r="F22" i="24"/>
  <c r="E22" i="24"/>
  <c r="N21" i="24"/>
  <c r="M21" i="24"/>
  <c r="J21" i="24"/>
  <c r="I21" i="24"/>
  <c r="I24" i="24" s="1"/>
  <c r="H21" i="24"/>
  <c r="G21" i="24"/>
  <c r="F21" i="24"/>
  <c r="E21" i="24"/>
  <c r="K20" i="24"/>
  <c r="L20" i="24"/>
  <c r="H17" i="24"/>
  <c r="G17" i="24"/>
  <c r="F17" i="24"/>
  <c r="L17" i="24" s="1"/>
  <c r="E17" i="24"/>
  <c r="L16" i="24"/>
  <c r="K16" i="24"/>
  <c r="M24" i="24"/>
  <c r="N13" i="24"/>
  <c r="M13" i="24"/>
  <c r="H13" i="24"/>
  <c r="G13" i="24"/>
  <c r="F13" i="24"/>
  <c r="E13" i="24"/>
  <c r="D13" i="24"/>
  <c r="C13" i="24"/>
  <c r="J12" i="24"/>
  <c r="J13" i="24" s="1"/>
  <c r="I12" i="24"/>
  <c r="I13" i="24" s="1"/>
  <c r="N10" i="24"/>
  <c r="M10" i="24"/>
  <c r="D10" i="24"/>
  <c r="C10" i="24"/>
  <c r="L9" i="24"/>
  <c r="K9" i="24"/>
  <c r="L8" i="24"/>
  <c r="K8" i="24"/>
  <c r="I10" i="24"/>
  <c r="G10" i="24"/>
  <c r="E10" i="24"/>
  <c r="D29" i="23"/>
  <c r="C29" i="23"/>
  <c r="L28" i="23"/>
  <c r="K28" i="23"/>
  <c r="N27" i="23"/>
  <c r="M27" i="23"/>
  <c r="J27" i="23"/>
  <c r="I27" i="23"/>
  <c r="H27" i="23"/>
  <c r="G27" i="23"/>
  <c r="F27" i="23"/>
  <c r="L27" i="23" s="1"/>
  <c r="E27" i="23"/>
  <c r="K27" i="23" s="1"/>
  <c r="N26" i="23"/>
  <c r="M26" i="23"/>
  <c r="J26" i="23"/>
  <c r="I26" i="23"/>
  <c r="H26" i="23"/>
  <c r="G26" i="23"/>
  <c r="F26" i="23"/>
  <c r="E26" i="23"/>
  <c r="N25" i="23"/>
  <c r="M25" i="23"/>
  <c r="J25" i="23"/>
  <c r="J29" i="23" s="1"/>
  <c r="I25" i="23"/>
  <c r="I29" i="23" s="1"/>
  <c r="H25" i="23"/>
  <c r="H29" i="23" s="1"/>
  <c r="G25" i="23"/>
  <c r="F25" i="23"/>
  <c r="F29" i="23" s="1"/>
  <c r="E25" i="23"/>
  <c r="D23" i="23"/>
  <c r="C23" i="23"/>
  <c r="J22" i="23"/>
  <c r="I22" i="23"/>
  <c r="H22" i="23"/>
  <c r="G22" i="23"/>
  <c r="F22" i="23"/>
  <c r="L22" i="23" s="1"/>
  <c r="E22" i="23"/>
  <c r="K22" i="23" s="1"/>
  <c r="N21" i="23"/>
  <c r="M21" i="23"/>
  <c r="J21" i="23"/>
  <c r="I21" i="23"/>
  <c r="H21" i="23"/>
  <c r="G21" i="23"/>
  <c r="F21" i="23"/>
  <c r="E21" i="23"/>
  <c r="L22" i="24" l="1"/>
  <c r="L22" i="26"/>
  <c r="J22" i="26"/>
  <c r="H32" i="25"/>
  <c r="E32" i="25"/>
  <c r="H24" i="24"/>
  <c r="J24" i="24"/>
  <c r="I32" i="25"/>
  <c r="N29" i="23"/>
  <c r="L21" i="24"/>
  <c r="K14" i="25"/>
  <c r="K24" i="25"/>
  <c r="I32" i="24"/>
  <c r="L14" i="25"/>
  <c r="L24" i="25"/>
  <c r="F25" i="25"/>
  <c r="F32" i="25" s="1"/>
  <c r="K8" i="26"/>
  <c r="K22" i="26"/>
  <c r="K26" i="23"/>
  <c r="L26" i="23"/>
  <c r="K17" i="24"/>
  <c r="K24" i="24" s="1"/>
  <c r="L23" i="24"/>
  <c r="K22" i="25"/>
  <c r="K25" i="25"/>
  <c r="F22" i="26"/>
  <c r="E29" i="23"/>
  <c r="L22" i="25"/>
  <c r="H22" i="26"/>
  <c r="G24" i="24"/>
  <c r="G32" i="24" s="1"/>
  <c r="K18" i="24"/>
  <c r="K8" i="25"/>
  <c r="M32" i="25"/>
  <c r="K19" i="25"/>
  <c r="L21" i="26"/>
  <c r="L25" i="26"/>
  <c r="L7" i="26"/>
  <c r="G29" i="23"/>
  <c r="K22" i="24"/>
  <c r="L18" i="24"/>
  <c r="L8" i="25"/>
  <c r="N32" i="25"/>
  <c r="L19" i="25"/>
  <c r="N22" i="26"/>
  <c r="K20" i="26"/>
  <c r="K27" i="24"/>
  <c r="K23" i="25"/>
  <c r="L20" i="26"/>
  <c r="M29" i="23"/>
  <c r="K21" i="24"/>
  <c r="L27" i="24"/>
  <c r="L23" i="25"/>
  <c r="M32" i="24"/>
  <c r="E24" i="24"/>
  <c r="E32" i="24" s="1"/>
  <c r="K17" i="25"/>
  <c r="G22" i="26"/>
  <c r="G30" i="26" s="1"/>
  <c r="I22" i="26"/>
  <c r="I30" i="26" s="1"/>
  <c r="M22" i="26"/>
  <c r="M30" i="26" s="1"/>
  <c r="F28" i="26"/>
  <c r="H28" i="26"/>
  <c r="J28" i="26"/>
  <c r="N28" i="26"/>
  <c r="N30" i="26" s="1"/>
  <c r="K14" i="26"/>
  <c r="E22" i="26"/>
  <c r="E30" i="26" s="1"/>
  <c r="L11" i="26"/>
  <c r="K11" i="26"/>
  <c r="L28" i="26"/>
  <c r="K28" i="26"/>
  <c r="J25" i="25"/>
  <c r="J32" i="25" s="1"/>
  <c r="G25" i="25"/>
  <c r="G32" i="25" s="1"/>
  <c r="L11" i="25"/>
  <c r="K11" i="25"/>
  <c r="L7" i="25"/>
  <c r="L30" i="25"/>
  <c r="K7" i="25"/>
  <c r="K30" i="25"/>
  <c r="F30" i="24"/>
  <c r="F32" i="24" s="1"/>
  <c r="H30" i="24"/>
  <c r="J30" i="24"/>
  <c r="N32" i="24"/>
  <c r="L13" i="24"/>
  <c r="K13" i="24"/>
  <c r="L7" i="24"/>
  <c r="L10" i="24" s="1"/>
  <c r="L12" i="24"/>
  <c r="L24" i="24"/>
  <c r="L26" i="24"/>
  <c r="L30" i="24" s="1"/>
  <c r="K7" i="24"/>
  <c r="K10" i="24" s="1"/>
  <c r="K12" i="24"/>
  <c r="K26" i="24"/>
  <c r="K25" i="23"/>
  <c r="K29" i="23" s="1"/>
  <c r="L25" i="23"/>
  <c r="L29" i="23" s="1"/>
  <c r="L21" i="23"/>
  <c r="K21" i="23"/>
  <c r="L20" i="23"/>
  <c r="K20" i="23"/>
  <c r="N19" i="23"/>
  <c r="M19" i="23"/>
  <c r="J19" i="23"/>
  <c r="I19" i="23"/>
  <c r="H19" i="23"/>
  <c r="G19" i="23"/>
  <c r="F19" i="23"/>
  <c r="E19" i="23"/>
  <c r="D29" i="17"/>
  <c r="C29" i="17"/>
  <c r="L28" i="17"/>
  <c r="K28" i="17"/>
  <c r="L27" i="17"/>
  <c r="K27" i="17"/>
  <c r="N26" i="17"/>
  <c r="N29" i="17" s="1"/>
  <c r="M26" i="17"/>
  <c r="M29" i="17" s="1"/>
  <c r="J26" i="17"/>
  <c r="J29" i="17" s="1"/>
  <c r="I26" i="17"/>
  <c r="I29" i="17" s="1"/>
  <c r="H26" i="17"/>
  <c r="G26" i="17"/>
  <c r="F26" i="17"/>
  <c r="E26" i="17"/>
  <c r="H29" i="17"/>
  <c r="G29" i="17"/>
  <c r="F29" i="17"/>
  <c r="E29" i="17"/>
  <c r="D23" i="17"/>
  <c r="C23" i="17"/>
  <c r="J22" i="17"/>
  <c r="I22" i="17"/>
  <c r="H22" i="17"/>
  <c r="G22" i="17"/>
  <c r="F22" i="17"/>
  <c r="L22" i="17" s="1"/>
  <c r="E22" i="17"/>
  <c r="K22" i="17" s="1"/>
  <c r="N21" i="17"/>
  <c r="M21" i="17"/>
  <c r="J21" i="17"/>
  <c r="I21" i="17"/>
  <c r="H21" i="17"/>
  <c r="G21" i="17"/>
  <c r="F21" i="17"/>
  <c r="E21" i="17"/>
  <c r="N20" i="17"/>
  <c r="M20" i="17"/>
  <c r="J20" i="17"/>
  <c r="I20" i="17"/>
  <c r="H20" i="17"/>
  <c r="G20" i="17"/>
  <c r="F20" i="17"/>
  <c r="L20" i="17" s="1"/>
  <c r="E20" i="17"/>
  <c r="N19" i="17"/>
  <c r="K19" i="17"/>
  <c r="J19" i="17"/>
  <c r="H19" i="17"/>
  <c r="F19" i="17"/>
  <c r="N18" i="17"/>
  <c r="K18" i="17"/>
  <c r="J18" i="17"/>
  <c r="H18" i="17"/>
  <c r="F18" i="17"/>
  <c r="J23" i="23"/>
  <c r="I23" i="23"/>
  <c r="L9" i="23"/>
  <c r="K9" i="23"/>
  <c r="J7" i="23"/>
  <c r="I7" i="23"/>
  <c r="H7" i="23"/>
  <c r="G7" i="23"/>
  <c r="F7" i="23"/>
  <c r="E7" i="23"/>
  <c r="H18" i="23"/>
  <c r="G18" i="23"/>
  <c r="F18" i="23"/>
  <c r="E18" i="23"/>
  <c r="N14" i="23"/>
  <c r="M14" i="23"/>
  <c r="J14" i="23"/>
  <c r="I14" i="23"/>
  <c r="H14" i="23"/>
  <c r="G14" i="23"/>
  <c r="F14" i="23"/>
  <c r="L14" i="23" s="1"/>
  <c r="E14" i="23"/>
  <c r="K14" i="23" s="1"/>
  <c r="D14" i="23"/>
  <c r="C14" i="23"/>
  <c r="L13" i="23"/>
  <c r="K13" i="23"/>
  <c r="N11" i="23"/>
  <c r="M11" i="23"/>
  <c r="D11" i="23"/>
  <c r="C11" i="23"/>
  <c r="L10" i="23"/>
  <c r="K10" i="23"/>
  <c r="J8" i="23"/>
  <c r="J11" i="23" s="1"/>
  <c r="I8" i="23"/>
  <c r="I11" i="23" s="1"/>
  <c r="H8" i="23"/>
  <c r="G8" i="23"/>
  <c r="F8" i="23"/>
  <c r="E8" i="23"/>
  <c r="H11" i="23"/>
  <c r="G11" i="23"/>
  <c r="F11" i="23"/>
  <c r="E11" i="23"/>
  <c r="D29" i="21"/>
  <c r="C29" i="21"/>
  <c r="L28" i="21"/>
  <c r="K28" i="21"/>
  <c r="N29" i="21"/>
  <c r="M29" i="21"/>
  <c r="J29" i="21"/>
  <c r="I29" i="21"/>
  <c r="L29" i="21"/>
  <c r="D24" i="21"/>
  <c r="C24" i="21"/>
  <c r="N22" i="21"/>
  <c r="M22" i="21"/>
  <c r="J22" i="21"/>
  <c r="I22" i="21"/>
  <c r="H22" i="21"/>
  <c r="G22" i="21"/>
  <c r="F22" i="21"/>
  <c r="E22" i="21"/>
  <c r="L21" i="21"/>
  <c r="K21" i="21"/>
  <c r="E23" i="21"/>
  <c r="F23" i="21"/>
  <c r="L23" i="21" s="1"/>
  <c r="G23" i="21"/>
  <c r="H23" i="21"/>
  <c r="I23" i="21"/>
  <c r="J23" i="21"/>
  <c r="K23" i="21"/>
  <c r="I24" i="21"/>
  <c r="H24" i="21"/>
  <c r="N7" i="21"/>
  <c r="M7" i="21"/>
  <c r="J7" i="21"/>
  <c r="I7" i="21"/>
  <c r="H7" i="21"/>
  <c r="G7" i="21"/>
  <c r="F7" i="21"/>
  <c r="E7" i="21"/>
  <c r="E11" i="21" s="1"/>
  <c r="L10" i="21"/>
  <c r="K10" i="21"/>
  <c r="J9" i="21"/>
  <c r="I9" i="21"/>
  <c r="H9" i="21"/>
  <c r="G9" i="21"/>
  <c r="F9" i="21"/>
  <c r="L9" i="21" s="1"/>
  <c r="E9" i="21"/>
  <c r="K9" i="21" s="1"/>
  <c r="N19" i="21"/>
  <c r="M19" i="21"/>
  <c r="J19" i="21"/>
  <c r="I19" i="21"/>
  <c r="H19" i="21"/>
  <c r="G19" i="21"/>
  <c r="F19" i="21"/>
  <c r="E19" i="21"/>
  <c r="K19" i="21" s="1"/>
  <c r="H18" i="21"/>
  <c r="G18" i="21"/>
  <c r="F18" i="21"/>
  <c r="L18" i="21" s="1"/>
  <c r="E18" i="21"/>
  <c r="K18" i="21" s="1"/>
  <c r="N14" i="21"/>
  <c r="M14" i="21"/>
  <c r="H14" i="21"/>
  <c r="G14" i="21"/>
  <c r="F14" i="21"/>
  <c r="E14" i="21"/>
  <c r="D14" i="21"/>
  <c r="C14" i="21"/>
  <c r="J13" i="21"/>
  <c r="J14" i="21" s="1"/>
  <c r="I13" i="21"/>
  <c r="I14" i="21" s="1"/>
  <c r="D11" i="21"/>
  <c r="C11" i="21"/>
  <c r="J8" i="21"/>
  <c r="I8" i="21"/>
  <c r="H8" i="21"/>
  <c r="G8" i="21"/>
  <c r="G11" i="21" s="1"/>
  <c r="F8" i="21"/>
  <c r="L8" i="21" s="1"/>
  <c r="E8" i="21"/>
  <c r="K8" i="21" s="1"/>
  <c r="N11" i="21"/>
  <c r="M11" i="21"/>
  <c r="J11" i="21"/>
  <c r="I11" i="21"/>
  <c r="H11" i="21"/>
  <c r="L28" i="20"/>
  <c r="K28" i="20"/>
  <c r="N26" i="20"/>
  <c r="M26" i="20"/>
  <c r="J26" i="20"/>
  <c r="I26" i="20"/>
  <c r="H26" i="20"/>
  <c r="G26" i="20"/>
  <c r="F26" i="20"/>
  <c r="E26" i="20"/>
  <c r="N21" i="20"/>
  <c r="M21" i="20"/>
  <c r="M22" i="20" s="1"/>
  <c r="N20" i="20"/>
  <c r="M20" i="20"/>
  <c r="J20" i="20"/>
  <c r="I20" i="20"/>
  <c r="H20" i="20"/>
  <c r="G20" i="20"/>
  <c r="K20" i="20" s="1"/>
  <c r="F20" i="20"/>
  <c r="E20" i="20"/>
  <c r="N17" i="20"/>
  <c r="M17" i="20"/>
  <c r="J17" i="20"/>
  <c r="J22" i="20" s="1"/>
  <c r="I17" i="20"/>
  <c r="H17" i="20"/>
  <c r="G17" i="20"/>
  <c r="F17" i="20"/>
  <c r="E17" i="20"/>
  <c r="J13" i="20"/>
  <c r="L13" i="20" s="1"/>
  <c r="I13" i="20"/>
  <c r="K13" i="20" s="1"/>
  <c r="L10" i="20"/>
  <c r="K10" i="20"/>
  <c r="L9" i="20"/>
  <c r="K9" i="20"/>
  <c r="N7" i="20"/>
  <c r="N11" i="20" s="1"/>
  <c r="M7" i="20"/>
  <c r="M11" i="20" s="1"/>
  <c r="J7" i="20"/>
  <c r="I7" i="20"/>
  <c r="H7" i="20"/>
  <c r="G7" i="20"/>
  <c r="F7" i="20"/>
  <c r="F11" i="20" s="1"/>
  <c r="E7" i="20"/>
  <c r="D22" i="20"/>
  <c r="C22" i="20"/>
  <c r="H18" i="20"/>
  <c r="G18" i="20"/>
  <c r="F18" i="20"/>
  <c r="L18" i="20" s="1"/>
  <c r="E18" i="20"/>
  <c r="N14" i="20"/>
  <c r="M14" i="20"/>
  <c r="H14" i="20"/>
  <c r="G14" i="20"/>
  <c r="F14" i="20"/>
  <c r="E14" i="20"/>
  <c r="D14" i="20"/>
  <c r="C14" i="20"/>
  <c r="D11" i="20"/>
  <c r="C11" i="20"/>
  <c r="J8" i="20"/>
  <c r="I8" i="20"/>
  <c r="I11" i="20" s="1"/>
  <c r="H8" i="20"/>
  <c r="G8" i="20"/>
  <c r="G11" i="20" s="1"/>
  <c r="F8" i="20"/>
  <c r="E8" i="20"/>
  <c r="D28" i="19"/>
  <c r="C28" i="19"/>
  <c r="L27" i="19"/>
  <c r="K27" i="19"/>
  <c r="L26" i="19"/>
  <c r="K26" i="19"/>
  <c r="N28" i="19"/>
  <c r="M28" i="19"/>
  <c r="J28" i="19"/>
  <c r="I28" i="19"/>
  <c r="H28" i="19"/>
  <c r="G28" i="19"/>
  <c r="F28" i="19"/>
  <c r="E28" i="19"/>
  <c r="D23" i="19"/>
  <c r="C23" i="19"/>
  <c r="J22" i="19"/>
  <c r="I22" i="19"/>
  <c r="H22" i="19"/>
  <c r="G22" i="19"/>
  <c r="F22" i="19"/>
  <c r="E22" i="19"/>
  <c r="K30" i="24" l="1"/>
  <c r="J14" i="20"/>
  <c r="L14" i="20" s="1"/>
  <c r="L20" i="20"/>
  <c r="J11" i="20"/>
  <c r="L11" i="20" s="1"/>
  <c r="H11" i="20"/>
  <c r="I22" i="20"/>
  <c r="K21" i="20"/>
  <c r="L21" i="20"/>
  <c r="K18" i="20"/>
  <c r="E11" i="20"/>
  <c r="K11" i="20" s="1"/>
  <c r="K8" i="20"/>
  <c r="L8" i="20"/>
  <c r="F22" i="20"/>
  <c r="F32" i="20" s="1"/>
  <c r="J30" i="26"/>
  <c r="F30" i="26"/>
  <c r="H30" i="26"/>
  <c r="H32" i="24"/>
  <c r="J32" i="24"/>
  <c r="I31" i="23"/>
  <c r="J31" i="23"/>
  <c r="K14" i="20"/>
  <c r="L17" i="20"/>
  <c r="J24" i="21"/>
  <c r="J31" i="21" s="1"/>
  <c r="M24" i="21"/>
  <c r="M31" i="21" s="1"/>
  <c r="N24" i="21"/>
  <c r="N31" i="21" s="1"/>
  <c r="M23" i="23"/>
  <c r="M31" i="23" s="1"/>
  <c r="G22" i="20"/>
  <c r="N23" i="23"/>
  <c r="N31" i="23" s="1"/>
  <c r="I14" i="20"/>
  <c r="F11" i="21"/>
  <c r="L25" i="25"/>
  <c r="L32" i="25" s="1"/>
  <c r="L19" i="17"/>
  <c r="L19" i="21"/>
  <c r="E29" i="21"/>
  <c r="K8" i="23"/>
  <c r="K21" i="17"/>
  <c r="K26" i="17"/>
  <c r="I31" i="21"/>
  <c r="K22" i="21"/>
  <c r="F29" i="21"/>
  <c r="L8" i="23"/>
  <c r="L21" i="17"/>
  <c r="L26" i="17"/>
  <c r="K22" i="19"/>
  <c r="L22" i="21"/>
  <c r="K18" i="23"/>
  <c r="L22" i="19"/>
  <c r="G24" i="21"/>
  <c r="H29" i="21"/>
  <c r="H31" i="21" s="1"/>
  <c r="L18" i="23"/>
  <c r="E24" i="21"/>
  <c r="F23" i="23"/>
  <c r="F31" i="23" s="1"/>
  <c r="H23" i="23"/>
  <c r="H31" i="23" s="1"/>
  <c r="F24" i="21"/>
  <c r="K29" i="21"/>
  <c r="G29" i="21"/>
  <c r="E23" i="23"/>
  <c r="E31" i="23" s="1"/>
  <c r="G23" i="23"/>
  <c r="G31" i="23" s="1"/>
  <c r="L18" i="17"/>
  <c r="K32" i="25"/>
  <c r="K30" i="26"/>
  <c r="L30" i="26"/>
  <c r="K32" i="24"/>
  <c r="L32" i="24"/>
  <c r="L19" i="23"/>
  <c r="K19" i="23"/>
  <c r="L29" i="17"/>
  <c r="K29" i="17"/>
  <c r="K20" i="17"/>
  <c r="L11" i="23"/>
  <c r="K11" i="23"/>
  <c r="L7" i="23"/>
  <c r="K7" i="23"/>
  <c r="M32" i="20"/>
  <c r="L11" i="21"/>
  <c r="L14" i="21"/>
  <c r="K11" i="21"/>
  <c r="K14" i="21"/>
  <c r="L7" i="21"/>
  <c r="L13" i="21"/>
  <c r="K7" i="21"/>
  <c r="K13" i="21"/>
  <c r="N22" i="20"/>
  <c r="N32" i="20" s="1"/>
  <c r="K17" i="20"/>
  <c r="H22" i="20"/>
  <c r="E22" i="20"/>
  <c r="E32" i="20" s="1"/>
  <c r="L7" i="20"/>
  <c r="L26" i="20"/>
  <c r="K7" i="20"/>
  <c r="K26" i="20"/>
  <c r="L28" i="19"/>
  <c r="K28" i="19"/>
  <c r="J32" i="20" l="1"/>
  <c r="I32" i="20"/>
  <c r="L22" i="20"/>
  <c r="L32" i="20" s="1"/>
  <c r="H32" i="20"/>
  <c r="G32" i="20"/>
  <c r="E31" i="21"/>
  <c r="G31" i="21"/>
  <c r="K24" i="21"/>
  <c r="K31" i="21" s="1"/>
  <c r="F31" i="21"/>
  <c r="L24" i="21"/>
  <c r="L31" i="21" s="1"/>
  <c r="K23" i="23"/>
  <c r="K31" i="23" s="1"/>
  <c r="L23" i="23"/>
  <c r="L31" i="23" s="1"/>
  <c r="K22" i="20"/>
  <c r="K32" i="20" l="1"/>
  <c r="N17" i="19"/>
  <c r="M17" i="19"/>
  <c r="J17" i="19"/>
  <c r="I17" i="19"/>
  <c r="H17" i="19"/>
  <c r="G17" i="19"/>
  <c r="F17" i="19"/>
  <c r="E17" i="19"/>
  <c r="L13" i="19"/>
  <c r="K13" i="19"/>
  <c r="N7" i="19" l="1"/>
  <c r="M7" i="19"/>
  <c r="J7" i="19"/>
  <c r="I7" i="19"/>
  <c r="I11" i="19" s="1"/>
  <c r="H7" i="19"/>
  <c r="G7" i="19"/>
  <c r="G11" i="19" s="1"/>
  <c r="F7" i="19"/>
  <c r="E7" i="19"/>
  <c r="N19" i="19"/>
  <c r="N23" i="19" s="1"/>
  <c r="M19" i="19"/>
  <c r="M23" i="19" s="1"/>
  <c r="J19" i="19"/>
  <c r="J23" i="19" s="1"/>
  <c r="I19" i="19"/>
  <c r="I23" i="19" s="1"/>
  <c r="H19" i="19"/>
  <c r="G19" i="19"/>
  <c r="F19" i="19"/>
  <c r="L19" i="19" s="1"/>
  <c r="E19" i="19"/>
  <c r="K19" i="19" s="1"/>
  <c r="H18" i="19"/>
  <c r="H23" i="19" s="1"/>
  <c r="G18" i="19"/>
  <c r="G23" i="19" s="1"/>
  <c r="F18" i="19"/>
  <c r="L18" i="19" s="1"/>
  <c r="E18" i="19"/>
  <c r="K18" i="19" s="1"/>
  <c r="L17" i="19"/>
  <c r="K17" i="19"/>
  <c r="N14" i="19"/>
  <c r="M14" i="19"/>
  <c r="H14" i="19"/>
  <c r="G14" i="19"/>
  <c r="F14" i="19"/>
  <c r="E14" i="19"/>
  <c r="D14" i="19"/>
  <c r="C14" i="19"/>
  <c r="J14" i="19"/>
  <c r="I14" i="19"/>
  <c r="D11" i="19"/>
  <c r="C11" i="19"/>
  <c r="N11" i="19"/>
  <c r="M11" i="19"/>
  <c r="L9" i="19"/>
  <c r="J8" i="19"/>
  <c r="I8" i="19"/>
  <c r="H8" i="19"/>
  <c r="G8" i="19"/>
  <c r="F8" i="19"/>
  <c r="L8" i="19" s="1"/>
  <c r="E8" i="19"/>
  <c r="K8" i="19" s="1"/>
  <c r="H17" i="17"/>
  <c r="G17" i="17"/>
  <c r="F17" i="17"/>
  <c r="L17" i="17" s="1"/>
  <c r="E17" i="17"/>
  <c r="K17" i="17" s="1"/>
  <c r="F23" i="17"/>
  <c r="E23" i="17"/>
  <c r="I23" i="17" l="1"/>
  <c r="G23" i="17"/>
  <c r="H23" i="17"/>
  <c r="J23" i="17"/>
  <c r="M23" i="17"/>
  <c r="N23" i="17"/>
  <c r="K16" i="17"/>
  <c r="F11" i="19"/>
  <c r="H11" i="19"/>
  <c r="H30" i="19" s="1"/>
  <c r="J11" i="19"/>
  <c r="J30" i="19" s="1"/>
  <c r="E23" i="19"/>
  <c r="I30" i="19"/>
  <c r="F23" i="19"/>
  <c r="G30" i="19"/>
  <c r="N30" i="19"/>
  <c r="M30" i="19"/>
  <c r="E11" i="19"/>
  <c r="L14" i="19"/>
  <c r="K14" i="19"/>
  <c r="L7" i="19"/>
  <c r="L23" i="19"/>
  <c r="K7" i="19"/>
  <c r="K23" i="19"/>
  <c r="K23" i="17"/>
  <c r="F30" i="19" l="1"/>
  <c r="L11" i="19"/>
  <c r="L30" i="19" s="1"/>
  <c r="L23" i="17"/>
  <c r="K11" i="19"/>
  <c r="K30" i="19" s="1"/>
  <c r="E30" i="19"/>
  <c r="J12" i="17"/>
  <c r="L12" i="17" s="1"/>
  <c r="I12" i="17"/>
  <c r="K12" i="17" s="1"/>
  <c r="N13" i="17"/>
  <c r="M13" i="17"/>
  <c r="J13" i="17"/>
  <c r="I13" i="17"/>
  <c r="H13" i="17"/>
  <c r="G13" i="17"/>
  <c r="F13" i="17"/>
  <c r="E13" i="17"/>
  <c r="D13" i="17"/>
  <c r="C13" i="17"/>
  <c r="N10" i="17"/>
  <c r="M10" i="17"/>
  <c r="M31" i="17" s="1"/>
  <c r="D10" i="17"/>
  <c r="C10" i="17"/>
  <c r="L9" i="17"/>
  <c r="K9" i="17"/>
  <c r="J7" i="17"/>
  <c r="J10" i="17" s="1"/>
  <c r="J31" i="17" s="1"/>
  <c r="I7" i="17"/>
  <c r="I10" i="17" s="1"/>
  <c r="H7" i="17"/>
  <c r="H10" i="17" s="1"/>
  <c r="G7" i="17"/>
  <c r="G10" i="17" s="1"/>
  <c r="G31" i="17" s="1"/>
  <c r="F7" i="17"/>
  <c r="F10" i="17" s="1"/>
  <c r="F31" i="17" s="1"/>
  <c r="E7" i="17"/>
  <c r="E10" i="17" s="1"/>
  <c r="E31" i="17" s="1"/>
  <c r="L8" i="17"/>
  <c r="K8" i="17"/>
  <c r="N28" i="8"/>
  <c r="M28" i="8"/>
  <c r="J28" i="8"/>
  <c r="I28" i="8"/>
  <c r="H28" i="8"/>
  <c r="H31" i="8" s="1"/>
  <c r="F28" i="8"/>
  <c r="G28" i="8"/>
  <c r="E28" i="8"/>
  <c r="L26" i="1"/>
  <c r="K26" i="1"/>
  <c r="N22" i="8"/>
  <c r="M22" i="8"/>
  <c r="J22" i="8"/>
  <c r="I23" i="8"/>
  <c r="I24" i="8"/>
  <c r="I22" i="8"/>
  <c r="H22" i="8"/>
  <c r="G22" i="8"/>
  <c r="F22" i="8"/>
  <c r="E22" i="8"/>
  <c r="E23" i="8"/>
  <c r="F23" i="8"/>
  <c r="G23" i="8"/>
  <c r="H23" i="8"/>
  <c r="J23" i="8"/>
  <c r="K23" i="8"/>
  <c r="M23" i="8"/>
  <c r="N23" i="8"/>
  <c r="E24" i="8"/>
  <c r="F24" i="8"/>
  <c r="G24" i="8"/>
  <c r="H24" i="8"/>
  <c r="J24" i="8"/>
  <c r="L24" i="8"/>
  <c r="E27" i="8"/>
  <c r="F27" i="8"/>
  <c r="L27" i="8" s="1"/>
  <c r="G27" i="8"/>
  <c r="H27" i="8"/>
  <c r="I27" i="8"/>
  <c r="J27" i="8"/>
  <c r="J31" i="8" s="1"/>
  <c r="K27" i="8"/>
  <c r="M27" i="8"/>
  <c r="N27" i="8"/>
  <c r="N31" i="8" s="1"/>
  <c r="K29" i="8"/>
  <c r="L29" i="8"/>
  <c r="K30" i="8"/>
  <c r="L30" i="8"/>
  <c r="C31" i="8"/>
  <c r="D31" i="8"/>
  <c r="F31" i="8"/>
  <c r="G31" i="8"/>
  <c r="N21" i="1"/>
  <c r="M21" i="1"/>
  <c r="J21" i="1"/>
  <c r="I21" i="1"/>
  <c r="H21" i="1"/>
  <c r="G21" i="1"/>
  <c r="F21" i="1"/>
  <c r="E21" i="1"/>
  <c r="K21" i="1" s="1"/>
  <c r="N9" i="1"/>
  <c r="M9" i="1"/>
  <c r="J9" i="1"/>
  <c r="I9" i="1"/>
  <c r="H9" i="1"/>
  <c r="G9" i="1"/>
  <c r="F9" i="1"/>
  <c r="L9" i="1" s="1"/>
  <c r="E9" i="1"/>
  <c r="K9" i="1" s="1"/>
  <c r="N31" i="17" l="1"/>
  <c r="K22" i="8"/>
  <c r="K13" i="17"/>
  <c r="L22" i="8"/>
  <c r="H31" i="17"/>
  <c r="L13" i="17"/>
  <c r="L28" i="8"/>
  <c r="I31" i="17"/>
  <c r="L21" i="1"/>
  <c r="L23" i="8"/>
  <c r="E31" i="8"/>
  <c r="L31" i="8"/>
  <c r="I31" i="8"/>
  <c r="M31" i="8"/>
  <c r="K24" i="8"/>
  <c r="K28" i="8"/>
  <c r="K31" i="8" s="1"/>
  <c r="L7" i="17"/>
  <c r="L10" i="17" s="1"/>
  <c r="K7" i="17"/>
  <c r="K10" i="17" s="1"/>
  <c r="K31" i="17" s="1"/>
  <c r="I37" i="12"/>
  <c r="C37" i="12"/>
  <c r="I36" i="12"/>
  <c r="C36" i="12"/>
  <c r="I35" i="12"/>
  <c r="C35" i="12"/>
  <c r="I34" i="12"/>
  <c r="C34" i="12"/>
  <c r="I33" i="12"/>
  <c r="C33" i="12"/>
  <c r="I32" i="12"/>
  <c r="C32" i="12"/>
  <c r="I31" i="12"/>
  <c r="L31" i="17" l="1"/>
  <c r="H18" i="8"/>
  <c r="F18" i="8"/>
  <c r="E17" i="8"/>
  <c r="N20" i="8"/>
  <c r="M20" i="8"/>
  <c r="J20" i="8"/>
  <c r="I20" i="8"/>
  <c r="H20" i="8"/>
  <c r="G20" i="8"/>
  <c r="F20" i="8"/>
  <c r="L20" i="8" s="1"/>
  <c r="E20" i="8"/>
  <c r="K20" i="8" s="1"/>
  <c r="N17" i="8"/>
  <c r="M17" i="8"/>
  <c r="J17" i="8"/>
  <c r="I17" i="8"/>
  <c r="H17" i="8"/>
  <c r="G17" i="8"/>
  <c r="K17" i="8" s="1"/>
  <c r="F17" i="8"/>
  <c r="L17" i="8" s="1"/>
  <c r="J7" i="8"/>
  <c r="J11" i="8" s="1"/>
  <c r="I7" i="8"/>
  <c r="H7" i="8"/>
  <c r="G7" i="8"/>
  <c r="F7" i="8"/>
  <c r="F11" i="8" s="1"/>
  <c r="E7" i="8"/>
  <c r="L21" i="8"/>
  <c r="K21" i="8"/>
  <c r="N19" i="8"/>
  <c r="M19" i="8"/>
  <c r="J19" i="8"/>
  <c r="I19" i="8"/>
  <c r="H19" i="8"/>
  <c r="G19" i="8"/>
  <c r="F19" i="8"/>
  <c r="L19" i="8" s="1"/>
  <c r="E19" i="8"/>
  <c r="K19" i="8" s="1"/>
  <c r="G18" i="8"/>
  <c r="L18" i="8"/>
  <c r="E18" i="8"/>
  <c r="K18" i="8" s="1"/>
  <c r="N14" i="8"/>
  <c r="M14" i="8"/>
  <c r="H14" i="8"/>
  <c r="G14" i="8"/>
  <c r="F14" i="8"/>
  <c r="E14" i="8"/>
  <c r="D14" i="8"/>
  <c r="C14" i="8"/>
  <c r="J14" i="8"/>
  <c r="I14" i="8"/>
  <c r="N11" i="8"/>
  <c r="M11" i="8"/>
  <c r="D11" i="8"/>
  <c r="C11" i="8"/>
  <c r="K10" i="8"/>
  <c r="L10" i="8"/>
  <c r="L9" i="8"/>
  <c r="K9" i="8"/>
  <c r="J8" i="8"/>
  <c r="I8" i="8"/>
  <c r="H8" i="8"/>
  <c r="G8" i="8"/>
  <c r="F8" i="8"/>
  <c r="E8" i="8"/>
  <c r="K8" i="8" s="1"/>
  <c r="N28" i="1"/>
  <c r="M28" i="1"/>
  <c r="D28" i="1"/>
  <c r="C28" i="1"/>
  <c r="J25" i="1"/>
  <c r="J28" i="1" s="1"/>
  <c r="I25" i="1"/>
  <c r="I28" i="1" s="1"/>
  <c r="H25" i="1"/>
  <c r="H28" i="1" s="1"/>
  <c r="G25" i="1"/>
  <c r="G28" i="1" s="1"/>
  <c r="F25" i="1"/>
  <c r="F28" i="1" s="1"/>
  <c r="E25" i="1"/>
  <c r="K25" i="1" s="1"/>
  <c r="D13" i="1"/>
  <c r="C13" i="1"/>
  <c r="D23" i="1"/>
  <c r="C23" i="1"/>
  <c r="J22" i="1"/>
  <c r="I22" i="1"/>
  <c r="H22" i="1"/>
  <c r="G22" i="1"/>
  <c r="F22" i="1"/>
  <c r="E22" i="1"/>
  <c r="L8" i="8" l="1"/>
  <c r="K22" i="1"/>
  <c r="G11" i="8"/>
  <c r="H11" i="8"/>
  <c r="L22" i="1"/>
  <c r="E11" i="8"/>
  <c r="I11" i="8"/>
  <c r="E25" i="8"/>
  <c r="G25" i="8"/>
  <c r="G33" i="8" s="1"/>
  <c r="I25" i="8"/>
  <c r="K25" i="8"/>
  <c r="M25" i="8"/>
  <c r="M33" i="8" s="1"/>
  <c r="F25" i="8"/>
  <c r="F33" i="8" s="1"/>
  <c r="H25" i="8"/>
  <c r="J25" i="8"/>
  <c r="J33" i="8" s="1"/>
  <c r="N25" i="8"/>
  <c r="N33" i="8" s="1"/>
  <c r="K7" i="8"/>
  <c r="L14" i="8"/>
  <c r="L11" i="8"/>
  <c r="K14" i="8"/>
  <c r="L7" i="8"/>
  <c r="L13" i="8"/>
  <c r="L25" i="8"/>
  <c r="K11" i="8"/>
  <c r="K13" i="8"/>
  <c r="E28" i="1"/>
  <c r="K28" i="1"/>
  <c r="L25" i="1"/>
  <c r="L28" i="1" s="1"/>
  <c r="H33" i="8" l="1"/>
  <c r="K33" i="8"/>
  <c r="I33" i="8"/>
  <c r="L33" i="8"/>
  <c r="E33" i="8"/>
  <c r="N20" i="1"/>
  <c r="M20" i="1"/>
  <c r="I20" i="1"/>
  <c r="J20" i="1"/>
  <c r="G20" i="1" l="1"/>
  <c r="H20" i="1"/>
  <c r="F20" i="1"/>
  <c r="E20" i="1"/>
  <c r="J19" i="1"/>
  <c r="I19" i="1"/>
  <c r="H19" i="1"/>
  <c r="G19" i="1"/>
  <c r="F19" i="1"/>
  <c r="L19" i="1" s="1"/>
  <c r="E19" i="1"/>
  <c r="K19" i="1" s="1"/>
  <c r="N18" i="1"/>
  <c r="M18" i="1"/>
  <c r="J18" i="1"/>
  <c r="I18" i="1"/>
  <c r="H18" i="1"/>
  <c r="G18" i="1"/>
  <c r="F18" i="1"/>
  <c r="L18" i="1" s="1"/>
  <c r="E18" i="1"/>
  <c r="K18" i="1" s="1"/>
  <c r="N10" i="1"/>
  <c r="M10" i="1"/>
  <c r="H17" i="1"/>
  <c r="G17" i="1"/>
  <c r="F17" i="1"/>
  <c r="L17" i="1" s="1"/>
  <c r="E17" i="1"/>
  <c r="K17" i="1" s="1"/>
  <c r="K20" i="1" l="1"/>
  <c r="L20" i="1"/>
  <c r="N16" i="1"/>
  <c r="M16" i="1"/>
  <c r="J16" i="1"/>
  <c r="I16" i="1"/>
  <c r="H16" i="1"/>
  <c r="G16" i="1"/>
  <c r="F16" i="1"/>
  <c r="E16" i="1"/>
  <c r="K16" i="1" s="1"/>
  <c r="D10" i="1"/>
  <c r="C10" i="1"/>
  <c r="L16" i="1" l="1"/>
  <c r="N23" i="1"/>
  <c r="M23" i="1"/>
  <c r="J23" i="1"/>
  <c r="I23" i="1"/>
  <c r="H23" i="1"/>
  <c r="G23" i="1"/>
  <c r="F23" i="1"/>
  <c r="E23" i="1"/>
  <c r="L23" i="1" l="1"/>
  <c r="K23" i="1"/>
  <c r="H13" i="1"/>
  <c r="G13" i="1"/>
  <c r="F13" i="1"/>
  <c r="E13" i="1"/>
  <c r="N13" i="1"/>
  <c r="N30" i="1" s="1"/>
  <c r="M13" i="1"/>
  <c r="M30" i="1" s="1"/>
  <c r="I12" i="1"/>
  <c r="I13" i="1" s="1"/>
  <c r="J12" i="1"/>
  <c r="J13" i="1" s="1"/>
  <c r="K12" i="1" l="1"/>
  <c r="L12" i="1"/>
  <c r="K13" i="1"/>
  <c r="L13" i="1"/>
  <c r="L8" i="1" l="1"/>
  <c r="K8" i="1"/>
  <c r="J10" i="1"/>
  <c r="J30" i="1" s="1"/>
  <c r="I10" i="1"/>
  <c r="I30" i="1" s="1"/>
  <c r="H10" i="1"/>
  <c r="H30" i="1" s="1"/>
  <c r="G10" i="1"/>
  <c r="G30" i="1" s="1"/>
  <c r="F10" i="1"/>
  <c r="E10" i="1"/>
  <c r="E30" i="1" s="1"/>
  <c r="K10" i="1" l="1"/>
  <c r="K30" i="1" s="1"/>
  <c r="L10" i="1"/>
  <c r="L30" i="1" s="1"/>
  <c r="F30" i="1"/>
  <c r="H27" i="12" l="1"/>
</calcChain>
</file>

<file path=xl/sharedStrings.xml><?xml version="1.0" encoding="utf-8"?>
<sst xmlns="http://schemas.openxmlformats.org/spreadsheetml/2006/main" count="786" uniqueCount="245">
  <si>
    <t>№ рец.</t>
  </si>
  <si>
    <t>Наименование блюда</t>
  </si>
  <si>
    <t>Завтрак</t>
  </si>
  <si>
    <t>Обед</t>
  </si>
  <si>
    <t>Полдник</t>
  </si>
  <si>
    <t>День</t>
  </si>
  <si>
    <t>Закуска</t>
  </si>
  <si>
    <t>Каша</t>
  </si>
  <si>
    <t>2 завтрак</t>
  </si>
  <si>
    <t>Суп</t>
  </si>
  <si>
    <t>Гарнир</t>
  </si>
  <si>
    <t>Курица</t>
  </si>
  <si>
    <t>Рыба</t>
  </si>
  <si>
    <t>Выпечка</t>
  </si>
  <si>
    <t>Фрукт</t>
  </si>
  <si>
    <t>Напиток</t>
  </si>
  <si>
    <t xml:space="preserve">1 день </t>
  </si>
  <si>
    <t xml:space="preserve">2 день 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</si>
  <si>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</si>
  <si>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</si>
  <si>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</si>
  <si>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</si>
  <si>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</si>
  <si>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</si>
  <si>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</si>
  <si>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</si>
  <si>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2-ой завтрак</t>
  </si>
  <si>
    <t>Батон нарезной</t>
  </si>
  <si>
    <t>Прием пищи</t>
  </si>
  <si>
    <t>%</t>
  </si>
  <si>
    <t>завтрак</t>
  </si>
  <si>
    <t>обед</t>
  </si>
  <si>
    <t>полдник</t>
  </si>
  <si>
    <t>Какао с молоком</t>
  </si>
  <si>
    <t>3-7 г.</t>
  </si>
  <si>
    <t>Жиры,гр.</t>
  </si>
  <si>
    <t>Белки,гр.</t>
  </si>
  <si>
    <t>Углеводы,гр.</t>
  </si>
  <si>
    <t>Энергетическая ценность (ккал)</t>
  </si>
  <si>
    <t>Витамин С</t>
  </si>
  <si>
    <t>Выход,гр.</t>
  </si>
  <si>
    <t>Пищевые вещества.</t>
  </si>
  <si>
    <t>1-3 г.</t>
  </si>
  <si>
    <t>ЗАВТРАК</t>
  </si>
  <si>
    <t>Сок фруктовый (виноградный)</t>
  </si>
  <si>
    <t>ОБЕД</t>
  </si>
  <si>
    <t>Сезон: весна - лето</t>
  </si>
  <si>
    <t>Возрастная катекогия: (1-3 г.)/(3-7 г.)</t>
  </si>
  <si>
    <t>День недели: понедельник.</t>
  </si>
  <si>
    <t>сок фруктовый</t>
  </si>
  <si>
    <t>какао с молоком</t>
  </si>
  <si>
    <t>Рассольник ленинградский</t>
  </si>
  <si>
    <t>Ясли (1-3 г.)</t>
  </si>
  <si>
    <t>Сад (3-7 г.)</t>
  </si>
  <si>
    <t>Макаронные изделия отварные</t>
  </si>
  <si>
    <t>Мясо птицы отварное (для отпуска блюда)</t>
  </si>
  <si>
    <t>Сметана (для отпуска блюда)</t>
  </si>
  <si>
    <t>Чай с лимоном</t>
  </si>
  <si>
    <t>Хлеб ржано-пшеничный</t>
  </si>
  <si>
    <t>ИТОГО ЗА ДЕНЬ:</t>
  </si>
  <si>
    <t>ПОЛДНИК</t>
  </si>
  <si>
    <t>Булочка "Веснушка"</t>
  </si>
  <si>
    <t>рассольник</t>
  </si>
  <si>
    <t>макароны</t>
  </si>
  <si>
    <t>гуляш</t>
  </si>
  <si>
    <t>чай с лимоном</t>
  </si>
  <si>
    <t>молоко</t>
  </si>
  <si>
    <t>яблоко</t>
  </si>
  <si>
    <t>сыр</t>
  </si>
  <si>
    <t>каша рисовая</t>
  </si>
  <si>
    <t>чай с сахаром</t>
  </si>
  <si>
    <t xml:space="preserve">ряженка </t>
  </si>
  <si>
    <t>картофельное пюре</t>
  </si>
  <si>
    <t>котлета рыбная</t>
  </si>
  <si>
    <t>компот из сх/фр</t>
  </si>
  <si>
    <t>банан</t>
  </si>
  <si>
    <t>напиток из шиповника</t>
  </si>
  <si>
    <t>кофейный напиток</t>
  </si>
  <si>
    <t>Гуляш из отварного мяса( соус 30гр)</t>
  </si>
  <si>
    <t>Яблоки свежие</t>
  </si>
  <si>
    <t>ИТОГО ПОЛДНИК:</t>
  </si>
  <si>
    <t>ИТОГО  ЗАВТРАК:</t>
  </si>
  <si>
    <t>ИТОГО  2-ой ЗАВТРАК:</t>
  </si>
  <si>
    <t>ИТОГО  ОБЕД:</t>
  </si>
  <si>
    <t>День недели: вторник.</t>
  </si>
  <si>
    <t>Каша рисовая с маслом вязкая</t>
  </si>
  <si>
    <t xml:space="preserve">Сыр порциями </t>
  </si>
  <si>
    <t>Чай с сахаром</t>
  </si>
  <si>
    <t>Ряженка</t>
  </si>
  <si>
    <t>Щи из свежей капусты с картофелем</t>
  </si>
  <si>
    <t>Пюре картофельное</t>
  </si>
  <si>
    <t>Котлеты рыбные</t>
  </si>
  <si>
    <t>Компот из сушеных фруктов</t>
  </si>
  <si>
    <t>Запеканка из творога</t>
  </si>
  <si>
    <t>350-450гр.</t>
  </si>
  <si>
    <t>450-550гр.</t>
  </si>
  <si>
    <t>200-250гр.</t>
  </si>
  <si>
    <t>400-550гр.</t>
  </si>
  <si>
    <t>600-800гр.</t>
  </si>
  <si>
    <t>250-350гр.</t>
  </si>
  <si>
    <t xml:space="preserve">Вес 1 прием </t>
  </si>
  <si>
    <t>Напиток из плодов шивовника</t>
  </si>
  <si>
    <t>Бананы свежие</t>
  </si>
  <si>
    <t>йогурт</t>
  </si>
  <si>
    <t>щи</t>
  </si>
  <si>
    <t>капуста тушенная</t>
  </si>
  <si>
    <t>тефтели</t>
  </si>
  <si>
    <t>рыба в омлете</t>
  </si>
  <si>
    <t>груша</t>
  </si>
  <si>
    <t>чай с молоком</t>
  </si>
  <si>
    <t>компот из кураги</t>
  </si>
  <si>
    <t>суп молочный</t>
  </si>
  <si>
    <t>каша дружба</t>
  </si>
  <si>
    <t>компот из изюиа</t>
  </si>
  <si>
    <t>мясо тушеное с овощами в соусе</t>
  </si>
  <si>
    <t>бутеброд с повидлом</t>
  </si>
  <si>
    <t>суп с рыбными фрикадельками</t>
  </si>
  <si>
    <t>агырчишид</t>
  </si>
  <si>
    <t>гороховое пюре</t>
  </si>
  <si>
    <t>макароны с сыром</t>
  </si>
  <si>
    <t>пудинг творожный</t>
  </si>
  <si>
    <t>каша пшенная</t>
  </si>
  <si>
    <t>каша ячневая</t>
  </si>
  <si>
    <t xml:space="preserve">каша манная </t>
  </si>
  <si>
    <t xml:space="preserve">геркулес </t>
  </si>
  <si>
    <t>Мясо (гов.)</t>
  </si>
  <si>
    <t>бефстроганов</t>
  </si>
  <si>
    <t>творожная запекнка+ молочный соус</t>
  </si>
  <si>
    <t>Мясо птицы отварное (для 1 отпуска блюда)</t>
  </si>
  <si>
    <t>плов из говядины</t>
  </si>
  <si>
    <t>компот из изюма</t>
  </si>
  <si>
    <t>Закуска (Замена)</t>
  </si>
  <si>
    <t>компот из чернослива</t>
  </si>
  <si>
    <t>борщ с картофелем</t>
  </si>
  <si>
    <t>Яйцо отварное</t>
  </si>
  <si>
    <t>Компот из изюма</t>
  </si>
  <si>
    <t>Соус томатный</t>
  </si>
  <si>
    <t>Соус молочный (сладкий)</t>
  </si>
  <si>
    <t>День недели: среда.</t>
  </si>
  <si>
    <t xml:space="preserve">Каша манная жидкая с маслом </t>
  </si>
  <si>
    <t>Бутерброд с повидлом</t>
  </si>
  <si>
    <t>Нугылишыд</t>
  </si>
  <si>
    <t>Кофейный напиток с молоком</t>
  </si>
  <si>
    <t>Капуста тушеная</t>
  </si>
  <si>
    <t>Биточки из говядины</t>
  </si>
  <si>
    <t>Соус молочный (для подачи к блюду)</t>
  </si>
  <si>
    <t>Чай с молоком</t>
  </si>
  <si>
    <t>Груши свежие</t>
  </si>
  <si>
    <t>День недели: четверг.</t>
  </si>
  <si>
    <t>Суп молочный с макаронными изделиями</t>
  </si>
  <si>
    <t>Масло порциями</t>
  </si>
  <si>
    <t>Йогурт</t>
  </si>
  <si>
    <t>Борщ с капустой и картофелем</t>
  </si>
  <si>
    <t>Молоко кипяченое</t>
  </si>
  <si>
    <t>День недели: пятница.</t>
  </si>
  <si>
    <t>Каша вязкая молочная "Дружба"</t>
  </si>
  <si>
    <t>Пуштыешыд</t>
  </si>
  <si>
    <t>Мясо птицы отварное (для отпуска 1 блюда)</t>
  </si>
  <si>
    <t>Мясо тушеное с овощами в соусе</t>
  </si>
  <si>
    <r>
      <t>443</t>
    </r>
    <r>
      <rPr>
        <sz val="10"/>
        <color theme="1"/>
        <rFont val="Calibri"/>
        <family val="2"/>
        <charset val="204"/>
      </rPr>
      <t>*</t>
    </r>
  </si>
  <si>
    <t>Неделя: первая, третья.</t>
  </si>
  <si>
    <t>Неделя: вторая, четвертая.</t>
  </si>
  <si>
    <t>Макароны отварные с сыром</t>
  </si>
  <si>
    <t>Бефстроганов из отварного мяса</t>
  </si>
  <si>
    <t>Компот из чернослива</t>
  </si>
  <si>
    <t>36-42</t>
  </si>
  <si>
    <t>42-54</t>
  </si>
  <si>
    <t>40-47</t>
  </si>
  <si>
    <t>47-60</t>
  </si>
  <si>
    <t>174-203</t>
  </si>
  <si>
    <t>203-261</t>
  </si>
  <si>
    <t>1200-1400</t>
  </si>
  <si>
    <t>1400-1800</t>
  </si>
  <si>
    <t>Каша пшенная вязкая с маслом</t>
  </si>
  <si>
    <t>РЕКОМЕНДУЕТСЯ:</t>
  </si>
  <si>
    <t>Рыба тушенная с овощами.</t>
  </si>
  <si>
    <t>Пудинг из творога (запеченный)</t>
  </si>
  <si>
    <t xml:space="preserve">Каша овсяная (геркулес) жидкая с маслом </t>
  </si>
  <si>
    <t>Борщ с картофелем</t>
  </si>
  <si>
    <t>Пюре из бобовых с маслом</t>
  </si>
  <si>
    <t>Тефтели мясные</t>
  </si>
  <si>
    <t>Компот из кураги</t>
  </si>
  <si>
    <t>Омлет натуральный с маслом</t>
  </si>
  <si>
    <t>омлет с маслом</t>
  </si>
  <si>
    <t>Каша ячневая вязкая с маслом</t>
  </si>
  <si>
    <t>Агырчишыд</t>
  </si>
  <si>
    <t>Кнели куриные с рисом</t>
  </si>
  <si>
    <t>"Гребешок" из дрожжевого теста</t>
  </si>
  <si>
    <t>29-36</t>
  </si>
  <si>
    <t>32-40</t>
  </si>
  <si>
    <t>Суп картофельный с рыбными фрикадельками</t>
  </si>
  <si>
    <t>Голубцы "Уралочка"</t>
  </si>
  <si>
    <t xml:space="preserve">Примерное меню разработано по Сборнику технических нормативов, рецептур блюд и кулинарных изделий для организации питания детей в дошкольных </t>
  </si>
  <si>
    <t>организациях Удмуртский Республики. Ижевск 2013 г.</t>
  </si>
  <si>
    <r>
      <rPr>
        <sz val="10"/>
        <color theme="1"/>
        <rFont val="Calibri"/>
        <family val="2"/>
        <charset val="204"/>
      </rPr>
      <t>*</t>
    </r>
    <r>
      <rPr>
        <sz val="10"/>
        <color theme="1"/>
        <rFont val="Calibri"/>
        <family val="2"/>
        <charset val="204"/>
        <scheme val="minor"/>
      </rPr>
      <t>Сборник рецептур и кулинарных изделий для предприятий общественного питания при общеобразовательных школах. "Хлебпродинформ" Москва 2004 г.</t>
    </r>
  </si>
  <si>
    <t xml:space="preserve">Плов из говядины </t>
  </si>
  <si>
    <t>размер порции</t>
  </si>
  <si>
    <t>хлеб</t>
  </si>
  <si>
    <t>биточки</t>
  </si>
  <si>
    <t>гречневая каша</t>
  </si>
  <si>
    <t>заменить</t>
  </si>
  <si>
    <t>Бутерброд с маслом сливочным</t>
  </si>
  <si>
    <t>каша  пшеничная</t>
  </si>
  <si>
    <t>каша  пшеничная  жидкая</t>
  </si>
  <si>
    <t>салат  "тазалык"</t>
  </si>
  <si>
    <t>салат  тазалык</t>
  </si>
  <si>
    <t>булочка  веснушка</t>
  </si>
  <si>
    <t>салат  из  свежих  огурцов</t>
  </si>
  <si>
    <t>салат  из  свежих  помидор</t>
  </si>
  <si>
    <t>салат  из  свежих  огурцов  и  помидор</t>
  </si>
  <si>
    <t>салат  из  свежих  помидор  и  огурцов</t>
  </si>
  <si>
    <t>борщ</t>
  </si>
  <si>
    <t>пустышид</t>
  </si>
  <si>
    <t>салат  из  свеклы  с  сыром  и  чесноком</t>
  </si>
  <si>
    <t>каша  гречневая  рассыпчатая</t>
  </si>
  <si>
    <t>чай с  сахаром</t>
  </si>
  <si>
    <t>чай  с  сахаром</t>
  </si>
  <si>
    <t>компот  из  сухофруктов</t>
  </si>
  <si>
    <t>компот  их  сухофруктов</t>
  </si>
  <si>
    <t>рыба  тушеная  с  овощами</t>
  </si>
  <si>
    <t>суп  картофельный  с  горохом</t>
  </si>
  <si>
    <t>садат  из  свежих  помидор</t>
  </si>
  <si>
    <t>салат  из  свежих  огупцов  и  помидор</t>
  </si>
  <si>
    <t>салат  космос</t>
  </si>
  <si>
    <t>сырники  из  творога</t>
  </si>
  <si>
    <t xml:space="preserve"> сырники  из  творога</t>
  </si>
  <si>
    <t>гребещки  из  дрожевого  теста</t>
  </si>
  <si>
    <t>кнели  куриные</t>
  </si>
  <si>
    <t>макароны  отварные</t>
  </si>
  <si>
    <t>каша  пшенная</t>
  </si>
  <si>
    <t>голубцы  уралочка</t>
  </si>
  <si>
    <t>оладьи</t>
  </si>
  <si>
    <t xml:space="preserve">  </t>
  </si>
  <si>
    <t>рыба  в  омлете</t>
  </si>
  <si>
    <t>батон</t>
  </si>
  <si>
    <t>масло сливочное батон</t>
  </si>
  <si>
    <t>итого  за  обед</t>
  </si>
  <si>
    <t>хлеб  ржано-пшеничный</t>
  </si>
  <si>
    <t>яйцо отварное батон</t>
  </si>
  <si>
    <t>сыр батон</t>
  </si>
  <si>
    <t>сыр  батон</t>
  </si>
  <si>
    <t>Суп с макаронами</t>
  </si>
  <si>
    <t>Яблоки, запеченные с творогом</t>
  </si>
  <si>
    <t>Салат из свеклы отварной</t>
  </si>
  <si>
    <t>Пирожок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</si>
</sst>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"/>
      <color rgb="FF7030A0"/>
      <name val="Calibri"/>
      <family val="2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/>
    <xf numFmtId="0" fontId="7" fillId="0" borderId="13" xfId="0" applyFont="1" applyBorder="1"/>
    <xf numFmtId="0" fontId="7" fillId="0" borderId="2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0" fillId="0" borderId="0" xfId="0"/>
    <xf numFmtId="2" fontId="9" fillId="5" borderId="1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4" borderId="21" xfId="1" applyFont="1" applyFill="1" applyBorder="1" applyAlignment="1" applyProtection="1">
      <alignment horizontal="center" vertical="center"/>
    </xf>
    <xf numFmtId="0" fontId="6" fillId="4" borderId="13" xfId="1" applyFont="1" applyFill="1" applyBorder="1" applyAlignment="1" applyProtection="1">
      <alignment horizontal="center" vertical="center"/>
    </xf>
    <xf numFmtId="0" fontId="0" fillId="0" borderId="0" xfId="0"/>
    <xf numFmtId="2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1" fontId="8" fillId="6" borderId="2" xfId="0" applyNumberFormat="1" applyFont="1" applyFill="1" applyBorder="1" applyAlignment="1">
      <alignment horizontal="center"/>
    </xf>
    <xf numFmtId="1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8" fillId="0" borderId="17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10" fillId="0" borderId="0" xfId="0" applyFont="1" applyBorder="1"/>
    <xf numFmtId="164" fontId="0" fillId="0" borderId="0" xfId="0" applyNumberFormat="1" applyBorder="1" applyAlignment="1">
      <alignment horizontal="center"/>
    </xf>
    <xf numFmtId="0" fontId="0" fillId="0" borderId="0" xfId="0"/>
    <xf numFmtId="2" fontId="8" fillId="5" borderId="3" xfId="0" applyNumberFormat="1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6" fillId="4" borderId="16" xfId="1" applyFont="1" applyFill="1" applyBorder="1" applyAlignment="1" applyProtection="1">
      <alignment horizontal="center" vertical="center"/>
    </xf>
    <xf numFmtId="0" fontId="6" fillId="4" borderId="12" xfId="1" applyFont="1" applyFill="1" applyBorder="1" applyAlignment="1" applyProtection="1">
      <alignment horizontal="center" vertical="center"/>
    </xf>
    <xf numFmtId="0" fontId="0" fillId="0" borderId="0" xfId="0"/>
    <xf numFmtId="0" fontId="5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0" fillId="0" borderId="0" xfId="0"/>
    <xf numFmtId="0" fontId="11" fillId="4" borderId="36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0" fillId="0" borderId="0" xfId="0"/>
    <xf numFmtId="0" fontId="9" fillId="5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165" fontId="8" fillId="5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0" fontId="12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4" borderId="35" xfId="0" applyFont="1" applyFill="1" applyBorder="1" applyAlignment="1">
      <alignment horizontal="left"/>
    </xf>
    <xf numFmtId="0" fontId="8" fillId="4" borderId="35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2" fontId="9" fillId="4" borderId="35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4" borderId="0" xfId="0" applyFill="1" applyBorder="1"/>
    <xf numFmtId="2" fontId="9" fillId="4" borderId="0" xfId="0" applyNumberFormat="1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3" borderId="0" xfId="0" applyFill="1"/>
    <xf numFmtId="0" fontId="16" fillId="0" borderId="1" xfId="0" applyFont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2" fontId="9" fillId="5" borderId="31" xfId="0" applyNumberFormat="1" applyFont="1" applyFill="1" applyBorder="1" applyAlignment="1">
      <alignment horizontal="center"/>
    </xf>
    <xf numFmtId="2" fontId="9" fillId="6" borderId="31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4" borderId="15" xfId="1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center"/>
    </xf>
    <xf numFmtId="0" fontId="6" fillId="4" borderId="16" xfId="1" applyFont="1" applyFill="1" applyBorder="1" applyAlignment="1" applyProtection="1">
      <alignment horizontal="center" vertical="center" wrapText="1"/>
    </xf>
    <xf numFmtId="0" fontId="6" fillId="4" borderId="17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5" fillId="4" borderId="11" xfId="1" applyFont="1" applyFill="1" applyBorder="1" applyAlignment="1" applyProtection="1">
      <alignment horizontal="center" vertical="center"/>
    </xf>
    <xf numFmtId="0" fontId="6" fillId="4" borderId="16" xfId="1" applyFont="1" applyFill="1" applyBorder="1" applyAlignment="1" applyProtection="1">
      <alignment horizontal="center" vertical="center"/>
    </xf>
    <xf numFmtId="0" fontId="6" fillId="4" borderId="12" xfId="1" applyFont="1" applyFill="1" applyBorder="1" applyAlignment="1" applyProtection="1">
      <alignment horizontal="center" vertical="center"/>
    </xf>
    <xf numFmtId="0" fontId="6" fillId="4" borderId="22" xfId="1" applyFont="1" applyFill="1" applyBorder="1" applyAlignment="1" applyProtection="1">
      <alignment horizontal="center" vertical="center"/>
    </xf>
    <xf numFmtId="0" fontId="6" fillId="4" borderId="20" xfId="1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4" borderId="17" xfId="1" applyFont="1" applyFill="1" applyBorder="1" applyAlignment="1" applyProtection="1">
      <alignment horizontal="center" vertical="center"/>
    </xf>
    <xf numFmtId="0" fontId="6" fillId="4" borderId="19" xfId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2" xfId="0" applyFont="1" applyBorder="1"/>
    <xf numFmtId="0" fontId="1" fillId="0" borderId="34" xfId="0" applyFont="1" applyBorder="1" applyAlignment="1">
      <alignment horizontal="center"/>
    </xf>
    <xf numFmtId="0" fontId="6" fillId="4" borderId="43" xfId="1" applyFont="1" applyFill="1" applyBorder="1" applyAlignment="1" applyProtection="1">
      <alignment horizontal="center" vertical="center"/>
    </xf>
    <xf numFmtId="0" fontId="6" fillId="4" borderId="44" xfId="1" applyFont="1" applyFill="1" applyBorder="1" applyAlignment="1" applyProtection="1">
      <alignment horizontal="center" vertical="center"/>
    </xf>
    <xf numFmtId="0" fontId="14" fillId="0" borderId="0" xfId="0" applyFont="1"/>
    <xf numFmtId="0" fontId="14" fillId="0" borderId="32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0" xfId="0" applyFont="1" applyBorder="1"/>
    <xf numFmtId="0" fontId="8" fillId="0" borderId="0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FFFF66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90" zoomScaleNormal="90" zoomScalePageLayoutView="80" workbookViewId="0">
      <selection activeCell="Q37" sqref="A1:Q37"/>
    </sheetView>
  </sheetViews>
  <sheetFormatPr defaultRowHeight="15" x14ac:dyDescent="0.25"/>
  <cols>
    <col min="1" max="1" width="8.140625" style="79" customWidth="1"/>
    <col min="2" max="2" width="9.42578125" style="79" customWidth="1"/>
    <col min="3" max="3" width="9.140625" style="79"/>
    <col min="4" max="4" width="11.140625" style="79" customWidth="1"/>
    <col min="5" max="5" width="12.5703125" style="79" customWidth="1"/>
    <col min="6" max="6" width="14.85546875" style="79" customWidth="1"/>
    <col min="7" max="7" width="10.140625" style="86" customWidth="1"/>
    <col min="8" max="8" width="14" style="79" customWidth="1"/>
    <col min="9" max="9" width="12.7109375" style="79" customWidth="1"/>
    <col min="10" max="10" width="12.42578125" style="79" customWidth="1"/>
    <col min="11" max="11" width="12" style="79" customWidth="1"/>
    <col min="12" max="12" width="10.5703125" style="79" customWidth="1"/>
    <col min="13" max="13" width="10.85546875" style="79" customWidth="1"/>
    <col min="14" max="14" width="11.42578125" style="79" customWidth="1"/>
    <col min="15" max="15" width="12.85546875" style="79" customWidth="1"/>
    <col min="16" max="16" width="9.140625" style="79"/>
    <col min="17" max="17" width="9.85546875" style="79" customWidth="1"/>
    <col min="18" max="16384" width="9.140625" style="79"/>
  </cols>
  <sheetData>
    <row r="1" spans="1:17" x14ac:dyDescent="0.25">
      <c r="A1" s="3"/>
      <c r="B1" s="3"/>
      <c r="C1" s="1"/>
      <c r="D1" s="1"/>
      <c r="E1" s="1"/>
      <c r="F1" s="1"/>
      <c r="G1" s="1"/>
      <c r="H1" s="4"/>
      <c r="I1" s="1"/>
      <c r="J1" s="1"/>
      <c r="K1" s="1"/>
      <c r="L1" s="1"/>
    </row>
    <row r="2" spans="1:17" ht="15.75" thickBot="1" x14ac:dyDescent="0.3">
      <c r="A2" s="3"/>
      <c r="B2" s="3"/>
      <c r="C2" s="1"/>
      <c r="D2" s="1"/>
      <c r="E2" s="1"/>
      <c r="F2" s="1"/>
      <c r="G2" s="1"/>
      <c r="H2" s="4"/>
      <c r="I2" s="1"/>
      <c r="J2" s="1"/>
      <c r="K2" s="1"/>
      <c r="L2" s="1"/>
    </row>
    <row r="3" spans="1:17" x14ac:dyDescent="0.25">
      <c r="A3" s="158" t="s">
        <v>2</v>
      </c>
      <c r="B3" s="159"/>
      <c r="C3" s="159"/>
      <c r="D3" s="160"/>
      <c r="E3" s="161"/>
      <c r="F3" s="158" t="s">
        <v>3</v>
      </c>
      <c r="G3" s="159"/>
      <c r="H3" s="159"/>
      <c r="I3" s="159"/>
      <c r="J3" s="159"/>
      <c r="K3" s="159"/>
      <c r="L3" s="159"/>
      <c r="M3" s="162"/>
      <c r="N3" s="158" t="s">
        <v>4</v>
      </c>
      <c r="O3" s="159"/>
      <c r="P3" s="159"/>
      <c r="Q3" s="162"/>
    </row>
    <row r="4" spans="1:17" ht="24.75" thickBot="1" x14ac:dyDescent="0.3">
      <c r="A4" s="94" t="s">
        <v>5</v>
      </c>
      <c r="B4" s="95" t="s">
        <v>6</v>
      </c>
      <c r="C4" s="96" t="s">
        <v>7</v>
      </c>
      <c r="D4" s="95" t="s">
        <v>15</v>
      </c>
      <c r="E4" s="97" t="s">
        <v>8</v>
      </c>
      <c r="F4" s="94" t="s">
        <v>6</v>
      </c>
      <c r="G4" s="98" t="s">
        <v>131</v>
      </c>
      <c r="H4" s="99" t="s">
        <v>9</v>
      </c>
      <c r="I4" s="99" t="s">
        <v>10</v>
      </c>
      <c r="J4" s="99" t="s">
        <v>11</v>
      </c>
      <c r="K4" s="99" t="s">
        <v>125</v>
      </c>
      <c r="L4" s="100" t="s">
        <v>12</v>
      </c>
      <c r="M4" s="97" t="s">
        <v>15</v>
      </c>
      <c r="N4" s="94" t="s">
        <v>10</v>
      </c>
      <c r="O4" s="95" t="s">
        <v>13</v>
      </c>
      <c r="P4" s="101" t="s">
        <v>14</v>
      </c>
      <c r="Q4" s="97" t="s">
        <v>15</v>
      </c>
    </row>
    <row r="5" spans="1:17" ht="15" customHeight="1" x14ac:dyDescent="0.25">
      <c r="A5" s="163" t="s">
        <v>16</v>
      </c>
      <c r="B5" s="165" t="s">
        <v>234</v>
      </c>
      <c r="C5" s="165" t="s">
        <v>202</v>
      </c>
      <c r="D5" s="168" t="s">
        <v>65</v>
      </c>
      <c r="E5" s="241" t="s">
        <v>49</v>
      </c>
      <c r="F5" s="170" t="s">
        <v>205</v>
      </c>
      <c r="G5" s="156"/>
      <c r="H5" s="172" t="s">
        <v>62</v>
      </c>
      <c r="I5" s="174" t="s">
        <v>63</v>
      </c>
      <c r="J5" s="192"/>
      <c r="K5" s="172" t="s">
        <v>64</v>
      </c>
      <c r="L5" s="8"/>
      <c r="M5" s="195" t="s">
        <v>130</v>
      </c>
      <c r="N5" s="197"/>
      <c r="O5" s="199" t="s">
        <v>206</v>
      </c>
      <c r="P5" s="192" t="s">
        <v>67</v>
      </c>
      <c r="Q5" s="168" t="s">
        <v>70</v>
      </c>
    </row>
    <row r="6" spans="1:17" ht="19.5" customHeight="1" thickBot="1" x14ac:dyDescent="0.3">
      <c r="A6" s="164"/>
      <c r="B6" s="166"/>
      <c r="C6" s="167"/>
      <c r="D6" s="169"/>
      <c r="E6" s="242"/>
      <c r="F6" s="171"/>
      <c r="G6" s="157"/>
      <c r="H6" s="173"/>
      <c r="I6" s="175"/>
      <c r="J6" s="193"/>
      <c r="K6" s="194"/>
      <c r="L6" s="6"/>
      <c r="M6" s="196"/>
      <c r="N6" s="198"/>
      <c r="O6" s="200"/>
      <c r="P6" s="193"/>
      <c r="Q6" s="176"/>
    </row>
    <row r="7" spans="1:17" ht="15" customHeight="1" x14ac:dyDescent="0.25">
      <c r="A7" s="163" t="s">
        <v>17</v>
      </c>
      <c r="B7" s="184" t="s">
        <v>68</v>
      </c>
      <c r="C7" s="165" t="s">
        <v>69</v>
      </c>
      <c r="D7" s="165" t="s">
        <v>50</v>
      </c>
      <c r="E7" s="186" t="s">
        <v>71</v>
      </c>
      <c r="F7" s="188" t="s">
        <v>207</v>
      </c>
      <c r="G7" s="84"/>
      <c r="H7" s="190" t="s">
        <v>104</v>
      </c>
      <c r="I7" s="156" t="s">
        <v>72</v>
      </c>
      <c r="J7" s="172"/>
      <c r="K7" s="74"/>
      <c r="L7" s="156" t="s">
        <v>73</v>
      </c>
      <c r="M7" s="168" t="s">
        <v>74</v>
      </c>
      <c r="N7" s="177" t="s">
        <v>127</v>
      </c>
      <c r="O7" s="179" t="s">
        <v>197</v>
      </c>
      <c r="P7" s="172" t="s">
        <v>75</v>
      </c>
      <c r="Q7" s="181" t="s">
        <v>76</v>
      </c>
    </row>
    <row r="8" spans="1:17" ht="32.25" customHeight="1" thickBot="1" x14ac:dyDescent="0.3">
      <c r="A8" s="183"/>
      <c r="B8" s="185"/>
      <c r="C8" s="167"/>
      <c r="D8" s="167"/>
      <c r="E8" s="187"/>
      <c r="F8" s="189"/>
      <c r="G8" s="85"/>
      <c r="H8" s="191"/>
      <c r="I8" s="157"/>
      <c r="J8" s="173"/>
      <c r="K8" s="75"/>
      <c r="L8" s="157"/>
      <c r="M8" s="176"/>
      <c r="N8" s="178"/>
      <c r="O8" s="180"/>
      <c r="P8" s="173"/>
      <c r="Q8" s="182"/>
    </row>
    <row r="9" spans="1:17" ht="21" customHeight="1" x14ac:dyDescent="0.25">
      <c r="A9" s="164" t="s">
        <v>18</v>
      </c>
      <c r="B9" s="166" t="s">
        <v>115</v>
      </c>
      <c r="C9" s="165" t="s">
        <v>123</v>
      </c>
      <c r="D9" s="165" t="s">
        <v>77</v>
      </c>
      <c r="E9" s="186" t="s">
        <v>49</v>
      </c>
      <c r="F9" s="206" t="s">
        <v>208</v>
      </c>
      <c r="G9" s="156"/>
      <c r="H9" s="156" t="s">
        <v>241</v>
      </c>
      <c r="I9" s="156" t="s">
        <v>105</v>
      </c>
      <c r="J9" s="202"/>
      <c r="K9" s="156" t="s">
        <v>198</v>
      </c>
      <c r="L9" s="156"/>
      <c r="M9" s="168" t="s">
        <v>110</v>
      </c>
      <c r="N9" s="203">
        <v>0</v>
      </c>
      <c r="O9" s="205"/>
      <c r="P9" s="194" t="s">
        <v>108</v>
      </c>
      <c r="Q9" s="168" t="s">
        <v>109</v>
      </c>
    </row>
    <row r="10" spans="1:17" ht="30" customHeight="1" thickBot="1" x14ac:dyDescent="0.3">
      <c r="A10" s="183"/>
      <c r="B10" s="167"/>
      <c r="C10" s="167"/>
      <c r="D10" s="167"/>
      <c r="E10" s="210"/>
      <c r="F10" s="189"/>
      <c r="G10" s="157"/>
      <c r="H10" s="157"/>
      <c r="I10" s="157"/>
      <c r="J10" s="157"/>
      <c r="K10" s="157"/>
      <c r="L10" s="157"/>
      <c r="M10" s="176"/>
      <c r="N10" s="204"/>
      <c r="O10" s="180"/>
      <c r="P10" s="173"/>
      <c r="Q10" s="176"/>
    </row>
    <row r="11" spans="1:17" ht="15" customHeight="1" x14ac:dyDescent="0.25">
      <c r="A11" s="163" t="s">
        <v>19</v>
      </c>
      <c r="B11" s="165" t="s">
        <v>235</v>
      </c>
      <c r="C11" s="165" t="s">
        <v>111</v>
      </c>
      <c r="D11" s="184" t="s">
        <v>216</v>
      </c>
      <c r="E11" s="186" t="s">
        <v>103</v>
      </c>
      <c r="F11" s="170" t="s">
        <v>210</v>
      </c>
      <c r="G11" s="170"/>
      <c r="H11" s="172" t="s">
        <v>211</v>
      </c>
      <c r="I11" s="156"/>
      <c r="J11" s="199" t="s">
        <v>129</v>
      </c>
      <c r="K11" s="74"/>
      <c r="L11" s="8"/>
      <c r="M11" s="166" t="s">
        <v>217</v>
      </c>
      <c r="N11" s="207"/>
      <c r="O11" s="156" t="s">
        <v>242</v>
      </c>
      <c r="P11" s="172" t="s">
        <v>67</v>
      </c>
      <c r="Q11" s="181" t="s">
        <v>66</v>
      </c>
    </row>
    <row r="12" spans="1:17" ht="21.75" customHeight="1" thickBot="1" x14ac:dyDescent="0.3">
      <c r="A12" s="183"/>
      <c r="B12" s="167"/>
      <c r="C12" s="167"/>
      <c r="D12" s="185"/>
      <c r="E12" s="210"/>
      <c r="F12" s="201"/>
      <c r="G12" s="201"/>
      <c r="H12" s="194"/>
      <c r="I12" s="157"/>
      <c r="J12" s="200"/>
      <c r="K12" s="75"/>
      <c r="L12" s="7"/>
      <c r="M12" s="167"/>
      <c r="N12" s="208"/>
      <c r="O12" s="157"/>
      <c r="P12" s="173"/>
      <c r="Q12" s="182"/>
    </row>
    <row r="13" spans="1:17" ht="15" customHeight="1" x14ac:dyDescent="0.25">
      <c r="A13" s="163" t="s">
        <v>20</v>
      </c>
      <c r="B13" s="184" t="s">
        <v>239</v>
      </c>
      <c r="C13" s="165" t="s">
        <v>112</v>
      </c>
      <c r="D13" s="165" t="s">
        <v>50</v>
      </c>
      <c r="E13" s="186" t="s">
        <v>49</v>
      </c>
      <c r="F13" s="235" t="s">
        <v>213</v>
      </c>
      <c r="G13" s="87"/>
      <c r="H13" s="190" t="s">
        <v>212</v>
      </c>
      <c r="I13" s="156" t="s">
        <v>114</v>
      </c>
      <c r="J13" s="172"/>
      <c r="L13" s="11"/>
      <c r="M13" s="168" t="s">
        <v>113</v>
      </c>
      <c r="N13" s="188" t="s">
        <v>107</v>
      </c>
      <c r="O13" s="211"/>
      <c r="P13" s="172" t="s">
        <v>75</v>
      </c>
      <c r="Q13" s="168" t="s">
        <v>76</v>
      </c>
    </row>
    <row r="14" spans="1:17" ht="22.5" customHeight="1" thickBot="1" x14ac:dyDescent="0.3">
      <c r="A14" s="164"/>
      <c r="B14" s="209"/>
      <c r="C14" s="166"/>
      <c r="D14" s="167"/>
      <c r="E14" s="210"/>
      <c r="F14" s="232"/>
      <c r="G14" s="88"/>
      <c r="H14" s="191"/>
      <c r="I14" s="157"/>
      <c r="J14" s="194"/>
      <c r="L14" s="9"/>
      <c r="M14" s="176"/>
      <c r="N14" s="206"/>
      <c r="O14" s="212"/>
      <c r="P14" s="194"/>
      <c r="Q14" s="169"/>
    </row>
    <row r="15" spans="1:17" ht="26.25" customHeight="1" x14ac:dyDescent="0.25">
      <c r="A15" s="163" t="s">
        <v>21</v>
      </c>
      <c r="B15" s="165" t="s">
        <v>238</v>
      </c>
      <c r="C15" s="165" t="s">
        <v>119</v>
      </c>
      <c r="D15" s="165" t="s">
        <v>70</v>
      </c>
      <c r="E15" s="186" t="s">
        <v>49</v>
      </c>
      <c r="F15" s="170" t="s">
        <v>243</v>
      </c>
      <c r="G15" s="156"/>
      <c r="H15" s="217" t="s">
        <v>141</v>
      </c>
      <c r="I15" s="190" t="s">
        <v>199</v>
      </c>
      <c r="J15" s="172"/>
      <c r="K15" s="199" t="s">
        <v>126</v>
      </c>
      <c r="L15" s="12"/>
      <c r="M15" s="168" t="s">
        <v>132</v>
      </c>
      <c r="N15" s="215"/>
      <c r="O15" s="156" t="s">
        <v>244</v>
      </c>
      <c r="P15" s="172" t="s">
        <v>108</v>
      </c>
      <c r="Q15" s="184" t="s">
        <v>66</v>
      </c>
    </row>
    <row r="16" spans="1:17" ht="23.25" customHeight="1" thickBot="1" x14ac:dyDescent="0.3">
      <c r="A16" s="183"/>
      <c r="B16" s="167"/>
      <c r="C16" s="167"/>
      <c r="D16" s="167"/>
      <c r="E16" s="187"/>
      <c r="F16" s="201"/>
      <c r="G16" s="157"/>
      <c r="H16" s="218"/>
      <c r="I16" s="191"/>
      <c r="J16" s="173"/>
      <c r="K16" s="200"/>
      <c r="L16" s="13"/>
      <c r="M16" s="176"/>
      <c r="N16" s="216"/>
      <c r="O16" s="157"/>
      <c r="P16" s="173"/>
      <c r="Q16" s="185"/>
    </row>
    <row r="17" spans="1:17" ht="15" customHeight="1" x14ac:dyDescent="0.25">
      <c r="A17" s="164" t="s">
        <v>22</v>
      </c>
      <c r="B17" s="166" t="s">
        <v>235</v>
      </c>
      <c r="C17" s="166" t="s">
        <v>121</v>
      </c>
      <c r="D17" s="165" t="s">
        <v>50</v>
      </c>
      <c r="E17" s="186" t="s">
        <v>71</v>
      </c>
      <c r="F17" s="213" t="s">
        <v>207</v>
      </c>
      <c r="G17" s="88"/>
      <c r="H17" s="194" t="s">
        <v>220</v>
      </c>
      <c r="I17" s="199" t="s">
        <v>72</v>
      </c>
      <c r="J17" s="220"/>
      <c r="K17" s="166"/>
      <c r="L17" s="222" t="s">
        <v>219</v>
      </c>
      <c r="M17" s="169" t="s">
        <v>74</v>
      </c>
      <c r="N17" s="206" t="s">
        <v>120</v>
      </c>
      <c r="O17" s="205"/>
      <c r="P17" s="194" t="s">
        <v>67</v>
      </c>
      <c r="Q17" s="181" t="s">
        <v>65</v>
      </c>
    </row>
    <row r="18" spans="1:17" ht="33.75" customHeight="1" thickBot="1" x14ac:dyDescent="0.3">
      <c r="A18" s="183"/>
      <c r="B18" s="167"/>
      <c r="C18" s="167"/>
      <c r="D18" s="167"/>
      <c r="E18" s="187"/>
      <c r="F18" s="214"/>
      <c r="G18" s="88"/>
      <c r="H18" s="173"/>
      <c r="I18" s="200"/>
      <c r="J18" s="221"/>
      <c r="K18" s="167"/>
      <c r="L18" s="223"/>
      <c r="M18" s="176"/>
      <c r="N18" s="189"/>
      <c r="O18" s="180"/>
      <c r="P18" s="173"/>
      <c r="Q18" s="182"/>
    </row>
    <row r="19" spans="1:17" ht="15" customHeight="1" x14ac:dyDescent="0.25">
      <c r="A19" s="163" t="s">
        <v>23</v>
      </c>
      <c r="B19" s="166" t="s">
        <v>115</v>
      </c>
      <c r="C19" s="165" t="s">
        <v>124</v>
      </c>
      <c r="D19" s="156" t="s">
        <v>77</v>
      </c>
      <c r="E19" s="186" t="s">
        <v>49</v>
      </c>
      <c r="F19" s="188" t="s">
        <v>221</v>
      </c>
      <c r="G19" s="84"/>
      <c r="H19" s="156" t="s">
        <v>133</v>
      </c>
      <c r="I19" s="156" t="s">
        <v>118</v>
      </c>
      <c r="J19" s="211"/>
      <c r="K19" s="156" t="s">
        <v>106</v>
      </c>
      <c r="L19" s="11"/>
      <c r="M19" s="168" t="s">
        <v>110</v>
      </c>
      <c r="N19" s="188" t="s">
        <v>183</v>
      </c>
      <c r="O19" s="179" t="s">
        <v>197</v>
      </c>
      <c r="P19" s="172" t="s">
        <v>75</v>
      </c>
      <c r="Q19" s="168" t="s">
        <v>76</v>
      </c>
    </row>
    <row r="20" spans="1:17" ht="25.5" customHeight="1" thickBot="1" x14ac:dyDescent="0.3">
      <c r="A20" s="183"/>
      <c r="B20" s="167"/>
      <c r="C20" s="167"/>
      <c r="D20" s="157"/>
      <c r="E20" s="210"/>
      <c r="F20" s="189"/>
      <c r="G20" s="85"/>
      <c r="H20" s="157"/>
      <c r="I20" s="157"/>
      <c r="J20" s="219"/>
      <c r="K20" s="157"/>
      <c r="L20" s="10"/>
      <c r="M20" s="176"/>
      <c r="N20" s="189"/>
      <c r="O20" s="180"/>
      <c r="P20" s="173"/>
      <c r="Q20" s="169"/>
    </row>
    <row r="21" spans="1:17" ht="15" customHeight="1" x14ac:dyDescent="0.25">
      <c r="A21" s="163" t="s">
        <v>24</v>
      </c>
      <c r="B21" s="165" t="s">
        <v>240</v>
      </c>
      <c r="C21" s="165" t="s">
        <v>122</v>
      </c>
      <c r="D21" s="165" t="s">
        <v>50</v>
      </c>
      <c r="E21" s="186" t="s">
        <v>103</v>
      </c>
      <c r="F21" s="206" t="s">
        <v>222</v>
      </c>
      <c r="G21" s="156"/>
      <c r="H21" s="172" t="s">
        <v>117</v>
      </c>
      <c r="I21" s="190" t="s">
        <v>228</v>
      </c>
      <c r="J21" s="190" t="s">
        <v>227</v>
      </c>
      <c r="K21" s="238"/>
      <c r="L21" s="12"/>
      <c r="M21" s="168" t="s">
        <v>65</v>
      </c>
      <c r="N21" s="188"/>
      <c r="O21" s="231" t="s">
        <v>226</v>
      </c>
      <c r="P21" s="172" t="s">
        <v>108</v>
      </c>
      <c r="Q21" s="233" t="s">
        <v>66</v>
      </c>
    </row>
    <row r="22" spans="1:17" ht="28.5" customHeight="1" thickBot="1" x14ac:dyDescent="0.3">
      <c r="A22" s="183"/>
      <c r="B22" s="167"/>
      <c r="C22" s="167"/>
      <c r="D22" s="167"/>
      <c r="E22" s="210"/>
      <c r="F22" s="189"/>
      <c r="G22" s="157"/>
      <c r="H22" s="173"/>
      <c r="I22" s="191"/>
      <c r="J22" s="191"/>
      <c r="K22" s="239"/>
      <c r="L22" s="13"/>
      <c r="M22" s="176"/>
      <c r="N22" s="189"/>
      <c r="O22" s="232"/>
      <c r="P22" s="173"/>
      <c r="Q22" s="234"/>
    </row>
    <row r="23" spans="1:17" ht="15" customHeight="1" x14ac:dyDescent="0.25">
      <c r="A23" s="163" t="s">
        <v>25</v>
      </c>
      <c r="B23" s="165" t="s">
        <v>235</v>
      </c>
      <c r="C23" s="165" t="s">
        <v>111</v>
      </c>
      <c r="D23" s="165" t="s">
        <v>70</v>
      </c>
      <c r="E23" s="186" t="s">
        <v>49</v>
      </c>
      <c r="F23" s="235" t="s">
        <v>223</v>
      </c>
      <c r="G23" s="236"/>
      <c r="H23" s="236" t="s">
        <v>116</v>
      </c>
      <c r="I23" s="236" t="s">
        <v>229</v>
      </c>
      <c r="J23" s="172"/>
      <c r="K23" s="165" t="s">
        <v>230</v>
      </c>
      <c r="L23" s="12"/>
      <c r="M23" s="168" t="s">
        <v>74</v>
      </c>
      <c r="N23" s="156" t="s">
        <v>224</v>
      </c>
      <c r="O23" s="156"/>
      <c r="P23" s="172" t="s">
        <v>67</v>
      </c>
      <c r="Q23" s="168" t="s">
        <v>109</v>
      </c>
    </row>
    <row r="24" spans="1:17" ht="27" customHeight="1" thickBot="1" x14ac:dyDescent="0.3">
      <c r="A24" s="183"/>
      <c r="B24" s="167"/>
      <c r="C24" s="167"/>
      <c r="D24" s="167"/>
      <c r="E24" s="210"/>
      <c r="F24" s="232"/>
      <c r="G24" s="237"/>
      <c r="H24" s="237"/>
      <c r="I24" s="237"/>
      <c r="J24" s="173"/>
      <c r="K24" s="167"/>
      <c r="L24" s="13"/>
      <c r="M24" s="176"/>
      <c r="N24" s="157"/>
      <c r="O24" s="157"/>
      <c r="P24" s="173"/>
      <c r="Q24" s="176"/>
    </row>
    <row r="25" spans="1:17" x14ac:dyDescent="0.25">
      <c r="A25" s="163"/>
      <c r="B25" s="184"/>
      <c r="C25" s="77"/>
      <c r="D25" s="34"/>
      <c r="E25" s="186"/>
      <c r="F25" s="207"/>
      <c r="G25" s="89"/>
      <c r="H25" s="192"/>
      <c r="I25" s="172"/>
      <c r="J25" s="172"/>
      <c r="K25" s="211"/>
      <c r="L25" s="14"/>
      <c r="M25" s="229"/>
      <c r="N25" s="207"/>
      <c r="O25" s="211"/>
      <c r="P25" s="172"/>
      <c r="Q25" s="233"/>
    </row>
    <row r="26" spans="1:17" ht="15.75" thickBot="1" x14ac:dyDescent="0.3">
      <c r="A26" s="183"/>
      <c r="B26" s="185"/>
      <c r="C26" s="78"/>
      <c r="D26" s="35"/>
      <c r="E26" s="187"/>
      <c r="F26" s="208"/>
      <c r="G26" s="90"/>
      <c r="H26" s="228"/>
      <c r="I26" s="173"/>
      <c r="J26" s="173"/>
      <c r="K26" s="219"/>
      <c r="L26" s="15"/>
      <c r="M26" s="230"/>
      <c r="N26" s="208"/>
      <c r="O26" s="219"/>
      <c r="P26" s="173"/>
      <c r="Q26" s="234"/>
    </row>
    <row r="27" spans="1:17" x14ac:dyDescent="0.25">
      <c r="A27" s="80"/>
      <c r="B27" s="81"/>
      <c r="C27" s="81"/>
      <c r="D27" s="81"/>
      <c r="E27" s="81"/>
      <c r="F27" s="82"/>
      <c r="G27" s="82"/>
      <c r="H27" s="82">
        <f ca="1">H27:O42</f>
        <v>0</v>
      </c>
      <c r="I27" s="82"/>
      <c r="J27" s="82"/>
      <c r="K27" s="83"/>
      <c r="L27" s="83"/>
      <c r="M27" s="83"/>
      <c r="N27" s="82"/>
      <c r="O27" s="83"/>
      <c r="P27" s="82"/>
      <c r="Q27" s="82" t="e">
        <f>+Q27:AC4Q27:Z42</f>
        <v>#NAME?</v>
      </c>
    </row>
    <row r="28" spans="1:17" x14ac:dyDescent="0.25">
      <c r="A28" s="80"/>
      <c r="B28" s="81"/>
      <c r="C28" s="81"/>
      <c r="D28" s="81"/>
      <c r="E28" s="81"/>
      <c r="F28" s="82"/>
      <c r="G28" s="82"/>
      <c r="H28" s="82"/>
      <c r="I28" s="82"/>
      <c r="J28" s="82"/>
      <c r="K28" s="83"/>
      <c r="L28" s="83"/>
      <c r="M28" s="83"/>
      <c r="N28" s="82"/>
      <c r="O28" s="83"/>
      <c r="P28" s="82"/>
      <c r="Q28" s="82"/>
    </row>
    <row r="29" spans="1:17" ht="15.75" thickBot="1" x14ac:dyDescent="0.3">
      <c r="A29" s="2"/>
      <c r="B29" s="240" t="s">
        <v>52</v>
      </c>
      <c r="C29" s="240"/>
      <c r="D29" s="2"/>
      <c r="E29" s="81"/>
      <c r="F29" s="2"/>
      <c r="G29" s="2"/>
      <c r="H29" s="76" t="s">
        <v>53</v>
      </c>
      <c r="I29" s="76"/>
      <c r="K29" s="83"/>
      <c r="L29" s="83"/>
      <c r="M29" s="83"/>
      <c r="N29" s="141" t="s">
        <v>200</v>
      </c>
      <c r="O29" s="83"/>
      <c r="P29" s="82"/>
      <c r="Q29" s="82"/>
    </row>
    <row r="30" spans="1:17" ht="15.75" thickBot="1" x14ac:dyDescent="0.3">
      <c r="A30" s="23" t="s">
        <v>28</v>
      </c>
      <c r="B30" s="24" t="s">
        <v>29</v>
      </c>
      <c r="C30" s="24">
        <v>1400</v>
      </c>
      <c r="D30" s="29" t="s">
        <v>100</v>
      </c>
      <c r="E30" s="81"/>
      <c r="F30" s="23" t="s">
        <v>28</v>
      </c>
      <c r="G30" s="91"/>
      <c r="H30" s="24" t="s">
        <v>29</v>
      </c>
      <c r="I30" s="24">
        <v>1800</v>
      </c>
      <c r="J30" s="29" t="s">
        <v>100</v>
      </c>
      <c r="K30" s="83"/>
      <c r="L30" s="83"/>
      <c r="M30" s="83"/>
      <c r="N30" s="82"/>
      <c r="O30" s="83"/>
      <c r="P30" s="82"/>
      <c r="Q30" s="82"/>
    </row>
    <row r="31" spans="1:17" x14ac:dyDescent="0.25">
      <c r="A31" s="224" t="s">
        <v>30</v>
      </c>
      <c r="B31" s="20">
        <v>20</v>
      </c>
      <c r="C31" s="21">
        <f>B31*$C$30/100</f>
        <v>280</v>
      </c>
      <c r="D31" s="226" t="s">
        <v>94</v>
      </c>
      <c r="E31" s="81"/>
      <c r="F31" s="72" t="s">
        <v>30</v>
      </c>
      <c r="G31" s="92"/>
      <c r="H31" s="20">
        <v>20</v>
      </c>
      <c r="I31" s="21">
        <f>H31*$I$30/100</f>
        <v>360</v>
      </c>
      <c r="J31" s="226" t="s">
        <v>97</v>
      </c>
      <c r="K31" s="83"/>
      <c r="L31" s="83"/>
      <c r="M31" s="83"/>
      <c r="N31" s="82"/>
      <c r="O31" s="83"/>
      <c r="P31" s="82"/>
      <c r="Q31" s="82"/>
    </row>
    <row r="32" spans="1:17" ht="17.25" customHeight="1" thickBot="1" x14ac:dyDescent="0.3">
      <c r="A32" s="225"/>
      <c r="B32" s="22">
        <v>25</v>
      </c>
      <c r="C32" s="70">
        <f t="shared" ref="C32:C37" si="0">B32*$C$30/100</f>
        <v>350</v>
      </c>
      <c r="D32" s="227"/>
      <c r="E32" s="2"/>
      <c r="F32" s="73"/>
      <c r="G32" s="93"/>
      <c r="H32" s="22">
        <v>25</v>
      </c>
      <c r="I32" s="70">
        <f t="shared" ref="I32:I37" si="1">H32*$I$30/100</f>
        <v>450</v>
      </c>
      <c r="J32" s="227"/>
      <c r="K32" s="2"/>
      <c r="N32" s="139" t="s">
        <v>196</v>
      </c>
    </row>
    <row r="33" spans="1:13" ht="15.75" thickBot="1" x14ac:dyDescent="0.3">
      <c r="A33" s="23" t="s">
        <v>26</v>
      </c>
      <c r="B33" s="24">
        <v>5</v>
      </c>
      <c r="C33" s="21">
        <f t="shared" si="0"/>
        <v>70</v>
      </c>
      <c r="D33" s="25"/>
      <c r="E33" s="2"/>
      <c r="F33" s="23" t="s">
        <v>26</v>
      </c>
      <c r="G33" s="91"/>
      <c r="H33" s="24">
        <v>5</v>
      </c>
      <c r="I33" s="21">
        <f t="shared" si="1"/>
        <v>90</v>
      </c>
      <c r="J33" s="25"/>
      <c r="K33" s="2"/>
    </row>
    <row r="34" spans="1:13" x14ac:dyDescent="0.25">
      <c r="A34" s="224" t="s">
        <v>31</v>
      </c>
      <c r="B34" s="20">
        <v>30</v>
      </c>
      <c r="C34" s="21">
        <f t="shared" si="0"/>
        <v>420</v>
      </c>
      <c r="D34" s="226" t="s">
        <v>95</v>
      </c>
      <c r="E34" s="2"/>
      <c r="F34" s="72" t="s">
        <v>31</v>
      </c>
      <c r="G34" s="92"/>
      <c r="H34" s="20">
        <v>30</v>
      </c>
      <c r="I34" s="21">
        <f t="shared" si="1"/>
        <v>540</v>
      </c>
      <c r="J34" s="226" t="s">
        <v>98</v>
      </c>
      <c r="K34" s="2"/>
    </row>
    <row r="35" spans="1:13" ht="15.75" thickBot="1" x14ac:dyDescent="0.3">
      <c r="A35" s="225"/>
      <c r="B35" s="22">
        <v>35</v>
      </c>
      <c r="C35" s="70">
        <f t="shared" si="0"/>
        <v>490</v>
      </c>
      <c r="D35" s="227"/>
      <c r="E35" s="2"/>
      <c r="F35" s="73"/>
      <c r="G35" s="93"/>
      <c r="H35" s="22">
        <v>35</v>
      </c>
      <c r="I35" s="70">
        <f t="shared" si="1"/>
        <v>630</v>
      </c>
      <c r="J35" s="227"/>
      <c r="K35" s="2"/>
    </row>
    <row r="36" spans="1:13" x14ac:dyDescent="0.25">
      <c r="A36" s="224" t="s">
        <v>32</v>
      </c>
      <c r="B36" s="20">
        <v>10</v>
      </c>
      <c r="C36" s="21">
        <f t="shared" si="0"/>
        <v>140</v>
      </c>
      <c r="D36" s="226" t="s">
        <v>96</v>
      </c>
      <c r="E36" s="2"/>
      <c r="F36" s="72" t="s">
        <v>32</v>
      </c>
      <c r="G36" s="92"/>
      <c r="H36" s="20">
        <v>10</v>
      </c>
      <c r="I36" s="21">
        <f t="shared" si="1"/>
        <v>180</v>
      </c>
      <c r="J36" s="226" t="s">
        <v>99</v>
      </c>
      <c r="K36" s="2"/>
    </row>
    <row r="37" spans="1:13" ht="15.75" thickBot="1" x14ac:dyDescent="0.3">
      <c r="A37" s="225"/>
      <c r="B37" s="22">
        <v>15</v>
      </c>
      <c r="C37" s="71">
        <f t="shared" si="0"/>
        <v>210</v>
      </c>
      <c r="D37" s="227"/>
      <c r="E37" s="2"/>
      <c r="F37" s="73"/>
      <c r="G37" s="93"/>
      <c r="H37" s="22">
        <v>15</v>
      </c>
      <c r="I37" s="71">
        <f t="shared" si="1"/>
        <v>270</v>
      </c>
      <c r="J37" s="227"/>
      <c r="K37" s="2"/>
    </row>
    <row r="38" spans="1:13" x14ac:dyDescent="0.25">
      <c r="A38" s="2"/>
      <c r="B38" s="2"/>
      <c r="C38" s="2"/>
      <c r="D38" s="2"/>
      <c r="E38" s="2"/>
      <c r="K38" s="2"/>
    </row>
    <row r="39" spans="1:13" x14ac:dyDescent="0.25">
      <c r="A39" s="2"/>
      <c r="B39" s="2"/>
      <c r="C39" s="2"/>
      <c r="D39" s="2"/>
      <c r="E39" s="2"/>
      <c r="K39" s="2"/>
    </row>
    <row r="40" spans="1:13" x14ac:dyDescent="0.25">
      <c r="A40" s="2"/>
      <c r="B40" s="2"/>
      <c r="C40" s="2"/>
      <c r="D40" s="2"/>
      <c r="E40" s="2"/>
      <c r="K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5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5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F46" s="5"/>
      <c r="G46" s="5"/>
      <c r="H46" s="5"/>
      <c r="I46" s="5"/>
      <c r="J46" s="5"/>
      <c r="K46" s="5"/>
      <c r="L46" s="5"/>
      <c r="M46" s="5"/>
    </row>
    <row r="47" spans="1:13" x14ac:dyDescent="0.25">
      <c r="F47" s="5"/>
      <c r="G47" s="5"/>
      <c r="H47" s="5"/>
      <c r="I47" s="5"/>
      <c r="J47" s="5"/>
      <c r="K47" s="5"/>
      <c r="L47" s="5"/>
      <c r="M47" s="5"/>
    </row>
    <row r="48" spans="1:13" x14ac:dyDescent="0.25">
      <c r="F48" s="5"/>
      <c r="G48" s="5"/>
      <c r="H48" s="5"/>
      <c r="I48" s="5"/>
      <c r="J48" s="5"/>
      <c r="K48" s="5"/>
      <c r="L48" s="5"/>
      <c r="M48" s="5"/>
    </row>
    <row r="49" spans="6:13" x14ac:dyDescent="0.25">
      <c r="F49" s="5"/>
      <c r="G49" s="5"/>
      <c r="H49" s="5"/>
      <c r="I49" s="5"/>
      <c r="J49" s="5"/>
      <c r="K49" s="5"/>
      <c r="L49" s="5"/>
      <c r="M49" s="5"/>
    </row>
    <row r="50" spans="6:13" x14ac:dyDescent="0.25">
      <c r="F50" s="5"/>
      <c r="G50" s="5"/>
      <c r="H50" s="5"/>
      <c r="I50" s="5"/>
      <c r="J50" s="5"/>
      <c r="K50" s="5"/>
      <c r="L50" s="5"/>
      <c r="M50" s="5"/>
    </row>
    <row r="51" spans="6:13" x14ac:dyDescent="0.25">
      <c r="F51" s="5"/>
      <c r="G51" s="5"/>
      <c r="H51" s="5"/>
      <c r="I51" s="5"/>
      <c r="J51" s="5"/>
      <c r="K51" s="5"/>
      <c r="L51" s="5"/>
      <c r="M51" s="5"/>
    </row>
    <row r="52" spans="6:13" x14ac:dyDescent="0.25">
      <c r="F52" s="5"/>
      <c r="G52" s="5"/>
      <c r="H52" s="5"/>
      <c r="I52" s="5"/>
      <c r="J52" s="5"/>
      <c r="K52" s="5"/>
      <c r="L52" s="5"/>
      <c r="M52" s="5"/>
    </row>
  </sheetData>
  <mergeCells count="182">
    <mergeCell ref="E9:E10"/>
    <mergeCell ref="E15:E16"/>
    <mergeCell ref="E19:E20"/>
    <mergeCell ref="E23:E24"/>
    <mergeCell ref="E5:E6"/>
    <mergeCell ref="G5:G6"/>
    <mergeCell ref="G9:G10"/>
    <mergeCell ref="G11:G12"/>
    <mergeCell ref="G15:G16"/>
    <mergeCell ref="G21:G22"/>
    <mergeCell ref="F13:F14"/>
    <mergeCell ref="Q25:Q26"/>
    <mergeCell ref="B29:C29"/>
    <mergeCell ref="A31:A32"/>
    <mergeCell ref="D31:D32"/>
    <mergeCell ref="K23:K24"/>
    <mergeCell ref="M23:M24"/>
    <mergeCell ref="N23:N24"/>
    <mergeCell ref="O23:O24"/>
    <mergeCell ref="P23:P24"/>
    <mergeCell ref="G23:G24"/>
    <mergeCell ref="O21:O22"/>
    <mergeCell ref="P21:P22"/>
    <mergeCell ref="Q21:Q22"/>
    <mergeCell ref="A23:A24"/>
    <mergeCell ref="B23:B24"/>
    <mergeCell ref="C23:C24"/>
    <mergeCell ref="D23:D24"/>
    <mergeCell ref="F23:F24"/>
    <mergeCell ref="H23:H24"/>
    <mergeCell ref="I23:I24"/>
    <mergeCell ref="H21:H22"/>
    <mergeCell ref="I21:I22"/>
    <mergeCell ref="J21:J22"/>
    <mergeCell ref="K21:K22"/>
    <mergeCell ref="M21:M22"/>
    <mergeCell ref="N21:N22"/>
    <mergeCell ref="A21:A22"/>
    <mergeCell ref="B21:B22"/>
    <mergeCell ref="C21:C22"/>
    <mergeCell ref="D21:D22"/>
    <mergeCell ref="E21:E22"/>
    <mergeCell ref="F21:F22"/>
    <mergeCell ref="Q23:Q24"/>
    <mergeCell ref="J23:J24"/>
    <mergeCell ref="A34:A35"/>
    <mergeCell ref="D34:D35"/>
    <mergeCell ref="A36:A37"/>
    <mergeCell ref="D36:D37"/>
    <mergeCell ref="O25:O26"/>
    <mergeCell ref="P25:P26"/>
    <mergeCell ref="A25:A26"/>
    <mergeCell ref="B25:B26"/>
    <mergeCell ref="F25:F26"/>
    <mergeCell ref="H25:H26"/>
    <mergeCell ref="I25:I26"/>
    <mergeCell ref="J25:J26"/>
    <mergeCell ref="K25:K26"/>
    <mergeCell ref="M25:M26"/>
    <mergeCell ref="N25:N26"/>
    <mergeCell ref="J31:J32"/>
    <mergeCell ref="J34:J35"/>
    <mergeCell ref="J36:J37"/>
    <mergeCell ref="E25:E26"/>
    <mergeCell ref="K19:K20"/>
    <mergeCell ref="M19:M20"/>
    <mergeCell ref="N19:N20"/>
    <mergeCell ref="O19:O20"/>
    <mergeCell ref="P19:P20"/>
    <mergeCell ref="Q19:Q20"/>
    <mergeCell ref="P17:P18"/>
    <mergeCell ref="Q17:Q18"/>
    <mergeCell ref="K17:K18"/>
    <mergeCell ref="L17:L18"/>
    <mergeCell ref="M17:M18"/>
    <mergeCell ref="N17:N18"/>
    <mergeCell ref="O17:O18"/>
    <mergeCell ref="A19:A20"/>
    <mergeCell ref="B19:B20"/>
    <mergeCell ref="C19:C20"/>
    <mergeCell ref="D19:D20"/>
    <mergeCell ref="F19:F20"/>
    <mergeCell ref="H19:H20"/>
    <mergeCell ref="I19:I20"/>
    <mergeCell ref="J19:J20"/>
    <mergeCell ref="J17:J18"/>
    <mergeCell ref="P15:P16"/>
    <mergeCell ref="Q15:Q16"/>
    <mergeCell ref="A17:A18"/>
    <mergeCell ref="B17:B18"/>
    <mergeCell ref="C17:C18"/>
    <mergeCell ref="D17:D18"/>
    <mergeCell ref="E17:E18"/>
    <mergeCell ref="F17:F18"/>
    <mergeCell ref="H17:H18"/>
    <mergeCell ref="I17:I18"/>
    <mergeCell ref="I15:I16"/>
    <mergeCell ref="J15:J16"/>
    <mergeCell ref="M15:M16"/>
    <mergeCell ref="N15:N16"/>
    <mergeCell ref="O15:O16"/>
    <mergeCell ref="A15:A16"/>
    <mergeCell ref="B15:B16"/>
    <mergeCell ref="C15:C16"/>
    <mergeCell ref="D15:D16"/>
    <mergeCell ref="F15:F16"/>
    <mergeCell ref="H15:H16"/>
    <mergeCell ref="K15:K16"/>
    <mergeCell ref="H13:H14"/>
    <mergeCell ref="I13:I14"/>
    <mergeCell ref="O11:O12"/>
    <mergeCell ref="P11:P12"/>
    <mergeCell ref="Q11:Q12"/>
    <mergeCell ref="A13:A14"/>
    <mergeCell ref="B13:B14"/>
    <mergeCell ref="C13:C14"/>
    <mergeCell ref="D13:D14"/>
    <mergeCell ref="E13:E14"/>
    <mergeCell ref="N13:N14"/>
    <mergeCell ref="O13:O14"/>
    <mergeCell ref="P13:P14"/>
    <mergeCell ref="Q13:Q14"/>
    <mergeCell ref="J13:J14"/>
    <mergeCell ref="M13:M14"/>
    <mergeCell ref="E11:E12"/>
    <mergeCell ref="P9:P10"/>
    <mergeCell ref="Q9:Q10"/>
    <mergeCell ref="A11:A12"/>
    <mergeCell ref="B11:B12"/>
    <mergeCell ref="C11:C12"/>
    <mergeCell ref="D11:D12"/>
    <mergeCell ref="F11:F12"/>
    <mergeCell ref="H11:H12"/>
    <mergeCell ref="I11:I12"/>
    <mergeCell ref="J11:J12"/>
    <mergeCell ref="I9:I10"/>
    <mergeCell ref="J9:J10"/>
    <mergeCell ref="K9:K10"/>
    <mergeCell ref="M9:M10"/>
    <mergeCell ref="N9:N10"/>
    <mergeCell ref="O9:O10"/>
    <mergeCell ref="A9:A10"/>
    <mergeCell ref="B9:B10"/>
    <mergeCell ref="C9:C10"/>
    <mergeCell ref="D9:D10"/>
    <mergeCell ref="F9:F10"/>
    <mergeCell ref="H9:H10"/>
    <mergeCell ref="M11:M12"/>
    <mergeCell ref="N11:N12"/>
    <mergeCell ref="H7:H8"/>
    <mergeCell ref="I7:I8"/>
    <mergeCell ref="J7:J8"/>
    <mergeCell ref="J5:J6"/>
    <mergeCell ref="K5:K6"/>
    <mergeCell ref="M5:M6"/>
    <mergeCell ref="N5:N6"/>
    <mergeCell ref="O5:O6"/>
    <mergeCell ref="P5:P6"/>
    <mergeCell ref="L9:L10"/>
    <mergeCell ref="A3:E3"/>
    <mergeCell ref="F3:M3"/>
    <mergeCell ref="N3:Q3"/>
    <mergeCell ref="A5:A6"/>
    <mergeCell ref="B5:B6"/>
    <mergeCell ref="C5:C6"/>
    <mergeCell ref="D5:D6"/>
    <mergeCell ref="F5:F6"/>
    <mergeCell ref="H5:H6"/>
    <mergeCell ref="I5:I6"/>
    <mergeCell ref="L7:L8"/>
    <mergeCell ref="M7:M8"/>
    <mergeCell ref="N7:N8"/>
    <mergeCell ref="O7:O8"/>
    <mergeCell ref="P7:P8"/>
    <mergeCell ref="Q7:Q8"/>
    <mergeCell ref="Q5:Q6"/>
    <mergeCell ref="A7:A8"/>
    <mergeCell ref="B7:B8"/>
    <mergeCell ref="C7:C8"/>
    <mergeCell ref="D7:D8"/>
    <mergeCell ref="E7:E8"/>
    <mergeCell ref="F7:F8"/>
  </mergeCells>
  <pageMargins left="0" right="0" top="0" bottom="0" header="0" footer="0"/>
  <pageSetup paperSize="9" scale="75" orientation="landscape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zoomScaleNormal="100" workbookViewId="0">
      <selection activeCell="U20" sqref="U20"/>
    </sheetView>
  </sheetViews>
  <sheetFormatPr defaultRowHeight="15" x14ac:dyDescent="0.25"/>
  <cols>
    <col min="1" max="1" width="4.85546875" style="113" customWidth="1"/>
    <col min="2" max="2" width="37" style="113" customWidth="1"/>
    <col min="3" max="3" width="7.28515625" style="113" customWidth="1"/>
    <col min="4" max="4" width="6.5703125" style="113" customWidth="1"/>
    <col min="5" max="5" width="6.7109375" style="113" customWidth="1"/>
    <col min="6" max="6" width="6.85546875" style="113" customWidth="1"/>
    <col min="7" max="7" width="6.42578125" style="113" customWidth="1"/>
    <col min="8" max="8" width="6.5703125" style="113" customWidth="1"/>
    <col min="9" max="9" width="7.28515625" style="113" customWidth="1"/>
    <col min="10" max="10" width="7.5703125" style="113" customWidth="1"/>
    <col min="11" max="12" width="9.42578125" style="113" customWidth="1"/>
    <col min="13" max="13" width="6.5703125" style="113" customWidth="1"/>
    <col min="14" max="14" width="7.28515625" style="113" customWidth="1"/>
    <col min="15" max="15" width="20.7109375" style="113" customWidth="1"/>
    <col min="16" max="16" width="7.28515625" style="113" customWidth="1"/>
    <col min="17" max="20" width="9.140625" style="113"/>
    <col min="21" max="21" width="19.7109375" style="113" customWidth="1"/>
    <col min="22" max="22" width="7.7109375" style="113" customWidth="1"/>
    <col min="23" max="23" width="9.140625" style="113"/>
    <col min="24" max="24" width="7.7109375" style="113" customWidth="1"/>
    <col min="25" max="16384" width="9.140625" style="113"/>
  </cols>
  <sheetData>
    <row r="1" spans="1:26" ht="15.75" x14ac:dyDescent="0.25">
      <c r="A1" s="243" t="s">
        <v>46</v>
      </c>
      <c r="B1" s="243"/>
      <c r="C1" s="243" t="s">
        <v>161</v>
      </c>
      <c r="D1" s="243"/>
      <c r="E1" s="243"/>
      <c r="F1" s="243"/>
      <c r="G1" s="243"/>
      <c r="H1" s="243"/>
      <c r="O1" s="5"/>
    </row>
    <row r="2" spans="1:26" ht="15.75" x14ac:dyDescent="0.25">
      <c r="A2" s="244" t="s">
        <v>47</v>
      </c>
      <c r="B2" s="244"/>
      <c r="C2" s="244" t="s">
        <v>148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106</v>
      </c>
      <c r="B7" s="18" t="s">
        <v>184</v>
      </c>
      <c r="C7" s="39">
        <v>160</v>
      </c>
      <c r="D7" s="45">
        <v>180</v>
      </c>
      <c r="E7" s="37">
        <f>C7*2.2/100</f>
        <v>3.52</v>
      </c>
      <c r="F7" s="41">
        <f>D7*2.2/100</f>
        <v>3.9600000000000004</v>
      </c>
      <c r="G7" s="37">
        <f>C7*2.7/100</f>
        <v>4.32</v>
      </c>
      <c r="H7" s="41">
        <f>D7*2.7/100</f>
        <v>4.8600000000000003</v>
      </c>
      <c r="I7" s="37">
        <f>C7*14.16/100</f>
        <v>22.655999999999999</v>
      </c>
      <c r="J7" s="41">
        <f>D7*14.16/100</f>
        <v>25.488000000000003</v>
      </c>
      <c r="K7" s="37">
        <f t="shared" ref="K7:L11" si="0">E7*4+G7*9+I7*4</f>
        <v>143.584</v>
      </c>
      <c r="L7" s="41">
        <f t="shared" si="0"/>
        <v>161.53200000000001</v>
      </c>
      <c r="M7" s="43">
        <v>0</v>
      </c>
      <c r="N7" s="44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6</v>
      </c>
      <c r="B9" s="18" t="s">
        <v>86</v>
      </c>
      <c r="C9" s="39">
        <v>10</v>
      </c>
      <c r="D9" s="47">
        <v>10</v>
      </c>
      <c r="E9" s="39">
        <v>2.63</v>
      </c>
      <c r="F9" s="42">
        <v>2.63</v>
      </c>
      <c r="G9" s="37">
        <v>2.66</v>
      </c>
      <c r="H9" s="42">
        <v>2.66</v>
      </c>
      <c r="I9" s="49">
        <v>0</v>
      </c>
      <c r="J9" s="44">
        <v>0</v>
      </c>
      <c r="K9" s="39">
        <f t="shared" si="0"/>
        <v>34.46</v>
      </c>
      <c r="L9" s="42">
        <f t="shared" si="0"/>
        <v>34.46</v>
      </c>
      <c r="M9" s="69">
        <v>7.0000000000000007E-2</v>
      </c>
      <c r="N9" s="41">
        <v>7.0000000000000007E-2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266</v>
      </c>
      <c r="B10" s="19" t="s">
        <v>33</v>
      </c>
      <c r="C10" s="39">
        <v>150</v>
      </c>
      <c r="D10" s="45">
        <v>180</v>
      </c>
      <c r="E10" s="37">
        <v>3.15</v>
      </c>
      <c r="F10" s="41">
        <v>3.67</v>
      </c>
      <c r="G10" s="37">
        <v>2.72</v>
      </c>
      <c r="H10" s="41">
        <v>3.19</v>
      </c>
      <c r="I10" s="39">
        <v>12.96</v>
      </c>
      <c r="J10" s="41">
        <v>15.82</v>
      </c>
      <c r="K10" s="39">
        <f t="shared" si="0"/>
        <v>88.92</v>
      </c>
      <c r="L10" s="42">
        <f t="shared" si="0"/>
        <v>106.67</v>
      </c>
      <c r="M10" s="69">
        <v>1.2</v>
      </c>
      <c r="N10" s="41">
        <v>1.43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350</v>
      </c>
      <c r="D11" s="48">
        <f>SUM(D7:D10)</f>
        <v>410</v>
      </c>
      <c r="E11" s="31">
        <f t="shared" ref="E11:N11" si="1">SUM(E7:E10)</f>
        <v>11.549999999999999</v>
      </c>
      <c r="F11" s="40">
        <f t="shared" si="1"/>
        <v>13.26</v>
      </c>
      <c r="G11" s="31">
        <f t="shared" si="1"/>
        <v>10.57</v>
      </c>
      <c r="H11" s="40">
        <f t="shared" si="1"/>
        <v>11.87</v>
      </c>
      <c r="I11" s="31">
        <f t="shared" si="1"/>
        <v>51.036000000000001</v>
      </c>
      <c r="J11" s="33">
        <f t="shared" si="1"/>
        <v>61.868000000000002</v>
      </c>
      <c r="K11" s="31">
        <f t="shared" si="0"/>
        <v>345.47399999999999</v>
      </c>
      <c r="L11" s="40">
        <f t="shared" si="0"/>
        <v>407.34199999999998</v>
      </c>
      <c r="M11" s="31">
        <f t="shared" si="1"/>
        <v>1.27</v>
      </c>
      <c r="N11" s="40">
        <f t="shared" si="1"/>
        <v>1.5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270</v>
      </c>
      <c r="B13" s="19" t="s">
        <v>88</v>
      </c>
      <c r="C13" s="39">
        <v>150</v>
      </c>
      <c r="D13" s="51">
        <v>180</v>
      </c>
      <c r="E13" s="37">
        <v>4.3499999999999996</v>
      </c>
      <c r="F13" s="41">
        <v>5.22</v>
      </c>
      <c r="G13" s="37">
        <v>3.75</v>
      </c>
      <c r="H13" s="41">
        <v>4.5</v>
      </c>
      <c r="I13" s="37">
        <v>6.3</v>
      </c>
      <c r="J13" s="42">
        <v>7.56</v>
      </c>
      <c r="K13" s="39">
        <f t="shared" ref="K13:L14" si="2">E13*4+G13*9+I13*4</f>
        <v>76.349999999999994</v>
      </c>
      <c r="L13" s="42">
        <f t="shared" si="2"/>
        <v>91.61999999999999</v>
      </c>
      <c r="M13" s="37">
        <v>0.45</v>
      </c>
      <c r="N13" s="42">
        <v>0.54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3">SUM(E13)</f>
        <v>4.3499999999999996</v>
      </c>
      <c r="F14" s="40">
        <f t="shared" si="3"/>
        <v>5.22</v>
      </c>
      <c r="G14" s="31">
        <f t="shared" si="3"/>
        <v>3.75</v>
      </c>
      <c r="H14" s="40">
        <f t="shared" si="3"/>
        <v>4.5</v>
      </c>
      <c r="I14" s="31">
        <f>SUM(I13)</f>
        <v>6.3</v>
      </c>
      <c r="J14" s="33">
        <f t="shared" ref="J14:N14" si="4">SUM(J13)</f>
        <v>7.56</v>
      </c>
      <c r="K14" s="130">
        <f t="shared" si="2"/>
        <v>76.349999999999994</v>
      </c>
      <c r="L14" s="33">
        <f t="shared" si="2"/>
        <v>91.61999999999999</v>
      </c>
      <c r="M14" s="31">
        <f t="shared" si="4"/>
        <v>0.45</v>
      </c>
      <c r="N14" s="33">
        <f t="shared" si="4"/>
        <v>0.54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31</v>
      </c>
      <c r="B16" s="19" t="s">
        <v>209</v>
      </c>
      <c r="C16" s="39">
        <v>40</v>
      </c>
      <c r="D16" s="51">
        <v>60</v>
      </c>
      <c r="E16" s="37">
        <v>0.38</v>
      </c>
      <c r="F16" s="41">
        <v>0.56999999999999995</v>
      </c>
      <c r="G16" s="37">
        <v>2.42</v>
      </c>
      <c r="H16" s="41">
        <v>3.6</v>
      </c>
      <c r="I16" s="37">
        <v>1.6</v>
      </c>
      <c r="J16" s="41">
        <v>1.83</v>
      </c>
      <c r="K16" s="37">
        <v>28.2</v>
      </c>
      <c r="L16" s="41">
        <v>42.4</v>
      </c>
      <c r="M16" s="37">
        <v>3.8</v>
      </c>
      <c r="N16" s="41">
        <v>5.7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31" x14ac:dyDescent="0.25">
      <c r="A17" s="17">
        <v>59</v>
      </c>
      <c r="B17" s="19" t="s">
        <v>185</v>
      </c>
      <c r="C17" s="39">
        <v>150</v>
      </c>
      <c r="D17" s="51">
        <v>200</v>
      </c>
      <c r="E17" s="37">
        <f>C17*2.1/100</f>
        <v>3.15</v>
      </c>
      <c r="F17" s="41">
        <f>D17*2.1/100</f>
        <v>4.2</v>
      </c>
      <c r="G17" s="37">
        <f>C17*1.2/100</f>
        <v>1.8</v>
      </c>
      <c r="H17" s="41">
        <f>D17*1.2/100</f>
        <v>2.4</v>
      </c>
      <c r="I17" s="37">
        <f>C17*5.7/100</f>
        <v>8.5500000000000007</v>
      </c>
      <c r="J17" s="41">
        <f>D17*5.7/100</f>
        <v>11.4</v>
      </c>
      <c r="K17" s="37">
        <f t="shared" ref="K17:L24" si="5">E17*4+G17*9+I17*4</f>
        <v>63</v>
      </c>
      <c r="L17" s="41">
        <f t="shared" si="5"/>
        <v>84</v>
      </c>
      <c r="M17" s="39">
        <f>C17*12.02/100</f>
        <v>18.03</v>
      </c>
      <c r="N17" s="42">
        <f>D17*12.02/100</f>
        <v>24.04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31" x14ac:dyDescent="0.25">
      <c r="A18" s="54"/>
      <c r="B18" s="55" t="s">
        <v>157</v>
      </c>
      <c r="C18" s="39">
        <v>20</v>
      </c>
      <c r="D18" s="42">
        <v>24</v>
      </c>
      <c r="E18" s="39">
        <f>C18*13.56/60</f>
        <v>4.5199999999999996</v>
      </c>
      <c r="F18" s="41">
        <f>D18*13.56/60</f>
        <v>5.4240000000000004</v>
      </c>
      <c r="G18" s="39">
        <f>C18*10.2/60</f>
        <v>3.4</v>
      </c>
      <c r="H18" s="42">
        <f>D18*10.2/60</f>
        <v>4.08</v>
      </c>
      <c r="I18" s="49">
        <v>0</v>
      </c>
      <c r="J18" s="44">
        <v>0</v>
      </c>
      <c r="K18" s="37">
        <f t="shared" si="5"/>
        <v>48.679999999999993</v>
      </c>
      <c r="L18" s="41">
        <f t="shared" si="5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31" x14ac:dyDescent="0.25">
      <c r="A19" s="17"/>
      <c r="B19" s="19" t="s">
        <v>56</v>
      </c>
      <c r="C19" s="39">
        <v>10</v>
      </c>
      <c r="D19" s="42">
        <v>10</v>
      </c>
      <c r="E19" s="39">
        <f>C19*2.6/100</f>
        <v>0.26</v>
      </c>
      <c r="F19" s="42">
        <f>D19*2.6/100</f>
        <v>0.26</v>
      </c>
      <c r="G19" s="39">
        <f>C19*15/100</f>
        <v>1.5</v>
      </c>
      <c r="H19" s="42">
        <f>D19*15/100</f>
        <v>1.5</v>
      </c>
      <c r="I19" s="39">
        <f>C19*3.6/100</f>
        <v>0.36</v>
      </c>
      <c r="J19" s="42">
        <f>D19*3.6/100</f>
        <v>0.36</v>
      </c>
      <c r="K19" s="37">
        <f t="shared" si="5"/>
        <v>15.979999999999999</v>
      </c>
      <c r="L19" s="41">
        <f t="shared" si="5"/>
        <v>15.979999999999999</v>
      </c>
      <c r="M19" s="39">
        <f>C19*0.4/100</f>
        <v>0.04</v>
      </c>
      <c r="N19" s="42">
        <f>D19*0.4/100</f>
        <v>0.04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31" x14ac:dyDescent="0.25">
      <c r="A20" s="17">
        <v>124</v>
      </c>
      <c r="B20" s="18" t="s">
        <v>228</v>
      </c>
      <c r="C20" s="39">
        <v>120</v>
      </c>
      <c r="D20" s="45">
        <v>150</v>
      </c>
      <c r="E20" s="37">
        <v>6.82</v>
      </c>
      <c r="F20" s="41">
        <v>11.36</v>
      </c>
      <c r="G20" s="37">
        <v>5.2320000000000002</v>
      </c>
      <c r="H20" s="41">
        <v>6.95</v>
      </c>
      <c r="I20" s="39">
        <v>32.700000000000003</v>
      </c>
      <c r="J20" s="42">
        <v>54.47</v>
      </c>
      <c r="K20" s="39">
        <v>205</v>
      </c>
      <c r="L20" s="41">
        <v>325</v>
      </c>
      <c r="M20" s="43">
        <v>0</v>
      </c>
      <c r="N20" s="44">
        <v>0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31" x14ac:dyDescent="0.25">
      <c r="A21" s="17">
        <v>207</v>
      </c>
      <c r="B21" s="19" t="s">
        <v>186</v>
      </c>
      <c r="C21" s="39">
        <v>60</v>
      </c>
      <c r="D21" s="42">
        <v>80</v>
      </c>
      <c r="E21" s="37">
        <v>6.83</v>
      </c>
      <c r="F21" s="41">
        <v>7.8</v>
      </c>
      <c r="G21" s="37">
        <v>3.81</v>
      </c>
      <c r="H21" s="42">
        <v>4.3499999999999996</v>
      </c>
      <c r="I21" s="37">
        <v>24.8</v>
      </c>
      <c r="J21" s="41">
        <v>28.3</v>
      </c>
      <c r="K21" s="37">
        <f t="shared" si="5"/>
        <v>160.81</v>
      </c>
      <c r="L21" s="41">
        <f t="shared" si="5"/>
        <v>183.55</v>
      </c>
      <c r="M21" s="39">
        <v>0.37</v>
      </c>
      <c r="N21" s="41">
        <v>0.42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31" x14ac:dyDescent="0.25">
      <c r="A22" s="17">
        <v>235</v>
      </c>
      <c r="B22" s="19" t="s">
        <v>136</v>
      </c>
      <c r="C22" s="39">
        <v>30</v>
      </c>
      <c r="D22" s="42">
        <v>30</v>
      </c>
      <c r="E22" s="37">
        <f>C22*1.16/100</f>
        <v>0.34799999999999998</v>
      </c>
      <c r="F22" s="41">
        <f>D22*1.16/100</f>
        <v>0.34799999999999998</v>
      </c>
      <c r="G22" s="39">
        <f>C22*4.2/100</f>
        <v>1.26</v>
      </c>
      <c r="H22" s="42">
        <f>D22*4.2/100</f>
        <v>1.26</v>
      </c>
      <c r="I22" s="107">
        <f>C22*8.02/100</f>
        <v>2.4060000000000001</v>
      </c>
      <c r="J22" s="42">
        <f>D22*8.02/100</f>
        <v>2.4060000000000001</v>
      </c>
      <c r="K22" s="37">
        <f t="shared" si="5"/>
        <v>22.356000000000002</v>
      </c>
      <c r="L22" s="41">
        <f t="shared" si="5"/>
        <v>22.356000000000002</v>
      </c>
      <c r="M22" s="37">
        <f>C22*2.38/100</f>
        <v>0.71399999999999997</v>
      </c>
      <c r="N22" s="41">
        <f>D22*2.38/100</f>
        <v>0.71399999999999997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31" x14ac:dyDescent="0.25">
      <c r="A23" s="17">
        <v>262</v>
      </c>
      <c r="B23" s="19" t="s">
        <v>57</v>
      </c>
      <c r="C23" s="39">
        <v>150</v>
      </c>
      <c r="D23" s="42">
        <v>180</v>
      </c>
      <c r="E23" s="39">
        <f>C23*0.07/150</f>
        <v>7.0000000000000007E-2</v>
      </c>
      <c r="F23" s="42">
        <f>D23*0.12/180</f>
        <v>0.11999999999999998</v>
      </c>
      <c r="G23" s="39">
        <f>C23*0.01/150</f>
        <v>0.01</v>
      </c>
      <c r="H23" s="42">
        <f>D23*0.02/180</f>
        <v>0.02</v>
      </c>
      <c r="I23" s="37">
        <f>C23*7.1/150</f>
        <v>7.1</v>
      </c>
      <c r="J23" s="41">
        <f>D23*10.2/180</f>
        <v>10.199999999999999</v>
      </c>
      <c r="K23" s="37">
        <f t="shared" si="5"/>
        <v>28.77</v>
      </c>
      <c r="L23" s="41">
        <f t="shared" si="5"/>
        <v>41.459999999999994</v>
      </c>
      <c r="M23" s="39">
        <f>C23*1.42/150</f>
        <v>1.42</v>
      </c>
      <c r="N23" s="42">
        <f>D23*2.83/180</f>
        <v>2.83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31" x14ac:dyDescent="0.25">
      <c r="A24" s="17"/>
      <c r="B24" s="19" t="s">
        <v>58</v>
      </c>
      <c r="C24" s="39">
        <v>40</v>
      </c>
      <c r="D24" s="42">
        <v>50</v>
      </c>
      <c r="E24" s="37">
        <f>C24*7.92/100</f>
        <v>3.1680000000000001</v>
      </c>
      <c r="F24" s="42">
        <f>D24*7.92/100</f>
        <v>3.96</v>
      </c>
      <c r="G24" s="37">
        <f>C24*1.32/100</f>
        <v>0.52800000000000002</v>
      </c>
      <c r="H24" s="42">
        <f>D24*1.32/100</f>
        <v>0.66</v>
      </c>
      <c r="I24" s="39">
        <f>C24*52.68/100</f>
        <v>21.071999999999999</v>
      </c>
      <c r="J24" s="42">
        <f>D24*52.68/100</f>
        <v>26.34</v>
      </c>
      <c r="K24" s="37">
        <f t="shared" si="5"/>
        <v>101.71199999999999</v>
      </c>
      <c r="L24" s="41">
        <f t="shared" si="5"/>
        <v>127.14</v>
      </c>
      <c r="M24" s="49">
        <v>0</v>
      </c>
      <c r="N24" s="44">
        <v>0</v>
      </c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31" x14ac:dyDescent="0.25">
      <c r="A25" s="26"/>
      <c r="B25" s="27" t="s">
        <v>83</v>
      </c>
      <c r="C25" s="130"/>
      <c r="D25" s="57"/>
      <c r="E25" s="31">
        <f>SUM(E16:E24)</f>
        <v>25.545999999999999</v>
      </c>
      <c r="F25" s="40">
        <f>SUM(F16:F24)</f>
        <v>34.042000000000002</v>
      </c>
      <c r="G25" s="31">
        <f>SUM(G16:G24)</f>
        <v>19.96</v>
      </c>
      <c r="H25" s="40">
        <f t="shared" ref="H25:M25" si="6">SUM(H16:H24)</f>
        <v>24.820000000000004</v>
      </c>
      <c r="I25" s="31">
        <f t="shared" si="6"/>
        <v>98.588000000000008</v>
      </c>
      <c r="J25" s="40">
        <f t="shared" si="6"/>
        <v>135.30600000000001</v>
      </c>
      <c r="K25" s="31">
        <f t="shared" si="6"/>
        <v>674.50800000000004</v>
      </c>
      <c r="L25" s="40">
        <f t="shared" si="6"/>
        <v>900.30200000000002</v>
      </c>
      <c r="M25" s="31">
        <f t="shared" si="6"/>
        <v>24.374000000000002</v>
      </c>
      <c r="N25" s="40">
        <f>SUM(N16:N24)</f>
        <v>33.744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31" x14ac:dyDescent="0.25">
      <c r="A26" s="262" t="s">
        <v>60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31" x14ac:dyDescent="0.25">
      <c r="A27" s="17">
        <v>285</v>
      </c>
      <c r="B27" s="19" t="s">
        <v>187</v>
      </c>
      <c r="C27" s="39">
        <v>75</v>
      </c>
      <c r="D27" s="42">
        <v>75</v>
      </c>
      <c r="E27" s="37">
        <v>4.0999999999999996</v>
      </c>
      <c r="F27" s="41">
        <v>4.0999999999999996</v>
      </c>
      <c r="G27" s="37">
        <v>2.2000000000000002</v>
      </c>
      <c r="H27" s="41">
        <v>2.2000000000000002</v>
      </c>
      <c r="I27" s="39">
        <v>38.200000000000003</v>
      </c>
      <c r="J27" s="41">
        <v>38.200000000000003</v>
      </c>
      <c r="K27" s="37">
        <v>185.5</v>
      </c>
      <c r="L27" s="41">
        <v>185.5</v>
      </c>
      <c r="M27" s="37">
        <v>0</v>
      </c>
      <c r="N27" s="42">
        <v>0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31" x14ac:dyDescent="0.25">
      <c r="A28" s="17">
        <v>269</v>
      </c>
      <c r="B28" s="19" t="s">
        <v>153</v>
      </c>
      <c r="C28" s="39">
        <v>150</v>
      </c>
      <c r="D28" s="42">
        <v>180</v>
      </c>
      <c r="E28" s="39">
        <v>4.58</v>
      </c>
      <c r="F28" s="42">
        <v>5.48</v>
      </c>
      <c r="G28" s="39">
        <v>4.08</v>
      </c>
      <c r="H28" s="41">
        <v>4.88</v>
      </c>
      <c r="I28" s="37">
        <v>7.58</v>
      </c>
      <c r="J28" s="42">
        <v>9.07</v>
      </c>
      <c r="K28" s="37">
        <f t="shared" ref="K28:L29" si="7">E28*4+G28*9+I28*4</f>
        <v>85.36</v>
      </c>
      <c r="L28" s="41">
        <f t="shared" si="7"/>
        <v>102.12</v>
      </c>
      <c r="M28" s="37">
        <v>2.0499999999999998</v>
      </c>
      <c r="N28" s="41">
        <v>2.46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31" x14ac:dyDescent="0.25">
      <c r="A29" s="17">
        <v>248</v>
      </c>
      <c r="B29" s="19" t="s">
        <v>147</v>
      </c>
      <c r="C29" s="39">
        <v>100</v>
      </c>
      <c r="D29" s="42">
        <v>100</v>
      </c>
      <c r="E29" s="37">
        <v>0.4</v>
      </c>
      <c r="F29" s="41">
        <v>0.4</v>
      </c>
      <c r="G29" s="37">
        <v>0.3</v>
      </c>
      <c r="H29" s="41">
        <v>0.3</v>
      </c>
      <c r="I29" s="37">
        <v>10.3</v>
      </c>
      <c r="J29" s="41">
        <v>10.3</v>
      </c>
      <c r="K29" s="37">
        <f t="shared" si="7"/>
        <v>45.5</v>
      </c>
      <c r="L29" s="41">
        <f t="shared" si="7"/>
        <v>45.5</v>
      </c>
      <c r="M29" s="49">
        <v>5</v>
      </c>
      <c r="N29" s="44">
        <v>5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  <c r="AA29" s="5"/>
      <c r="AB29" s="5"/>
      <c r="AC29" s="5"/>
      <c r="AD29" s="5"/>
      <c r="AE29" s="5"/>
    </row>
    <row r="30" spans="1:31" x14ac:dyDescent="0.25">
      <c r="A30" s="17"/>
      <c r="B30" s="27" t="s">
        <v>80</v>
      </c>
      <c r="C30" s="130">
        <f>SUM(C27:C29)</f>
        <v>325</v>
      </c>
      <c r="D30" s="33">
        <f t="shared" ref="D30:N30" si="8">SUM(D27:D29)</f>
        <v>355</v>
      </c>
      <c r="E30" s="130">
        <f t="shared" si="8"/>
        <v>9.08</v>
      </c>
      <c r="F30" s="33">
        <f t="shared" si="8"/>
        <v>9.98</v>
      </c>
      <c r="G30" s="130">
        <f t="shared" si="8"/>
        <v>6.58</v>
      </c>
      <c r="H30" s="33">
        <f t="shared" si="8"/>
        <v>7.38</v>
      </c>
      <c r="I30" s="31">
        <f t="shared" si="8"/>
        <v>56.08</v>
      </c>
      <c r="J30" s="33">
        <f t="shared" si="8"/>
        <v>57.570000000000007</v>
      </c>
      <c r="K30" s="130">
        <f t="shared" si="8"/>
        <v>316.36</v>
      </c>
      <c r="L30" s="33">
        <f t="shared" si="8"/>
        <v>333.12</v>
      </c>
      <c r="M30" s="130">
        <f t="shared" si="8"/>
        <v>7.05</v>
      </c>
      <c r="N30" s="33">
        <f t="shared" si="8"/>
        <v>7.46</v>
      </c>
      <c r="O30" s="5"/>
      <c r="P30" s="5"/>
      <c r="Q30" s="111"/>
      <c r="R30" s="111"/>
      <c r="S30" s="111"/>
      <c r="T30" s="111"/>
      <c r="U30" s="5"/>
      <c r="V30" s="5"/>
      <c r="W30" s="111"/>
      <c r="X30" s="111"/>
      <c r="Y30" s="111"/>
      <c r="Z30" s="111"/>
      <c r="AA30" s="5"/>
      <c r="AB30" s="5"/>
      <c r="AC30" s="5"/>
      <c r="AD30" s="5"/>
      <c r="AE30" s="5"/>
    </row>
    <row r="31" spans="1:31" x14ac:dyDescent="0.25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7"/>
      <c r="P31" s="132"/>
      <c r="Q31" s="5"/>
      <c r="R31" s="5"/>
      <c r="S31" s="5"/>
      <c r="T31" s="5"/>
      <c r="U31" s="5"/>
      <c r="V31" s="133"/>
      <c r="W31" s="5"/>
      <c r="X31" s="5"/>
      <c r="Y31" s="5"/>
      <c r="Z31" s="5"/>
      <c r="AA31" s="5"/>
      <c r="AB31" s="5"/>
      <c r="AC31" s="5"/>
      <c r="AD31" s="5"/>
      <c r="AE31" s="5"/>
    </row>
    <row r="32" spans="1:31" x14ac:dyDescent="0.25">
      <c r="A32" s="26"/>
      <c r="B32" s="106" t="s">
        <v>59</v>
      </c>
      <c r="C32" s="105"/>
      <c r="D32" s="105"/>
      <c r="E32" s="31">
        <f>E11+E14+E25+E30</f>
        <v>50.525999999999996</v>
      </c>
      <c r="F32" s="40">
        <f t="shared" ref="F32:N32" si="9">F11+F14+F25+F30</f>
        <v>62.50200000000001</v>
      </c>
      <c r="G32" s="31">
        <f t="shared" si="9"/>
        <v>40.86</v>
      </c>
      <c r="H32" s="40">
        <f t="shared" si="9"/>
        <v>48.57</v>
      </c>
      <c r="I32" s="31">
        <f t="shared" si="9"/>
        <v>212.00400000000002</v>
      </c>
      <c r="J32" s="40">
        <f t="shared" si="9"/>
        <v>262.30400000000003</v>
      </c>
      <c r="K32" s="31">
        <f t="shared" si="9"/>
        <v>1412.692</v>
      </c>
      <c r="L32" s="40">
        <f t="shared" si="9"/>
        <v>1732.384</v>
      </c>
      <c r="M32" s="31">
        <f t="shared" si="9"/>
        <v>33.143999999999998</v>
      </c>
      <c r="N32" s="40">
        <f t="shared" si="9"/>
        <v>43.244</v>
      </c>
      <c r="P32" s="132"/>
      <c r="U32" s="5"/>
      <c r="V32" s="67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25">
      <c r="A33" s="58"/>
      <c r="B33" s="59" t="s">
        <v>174</v>
      </c>
      <c r="C33" s="60"/>
      <c r="D33" s="60"/>
      <c r="E33" s="110" t="s">
        <v>165</v>
      </c>
      <c r="F33" s="110" t="s">
        <v>166</v>
      </c>
      <c r="G33" s="110" t="s">
        <v>167</v>
      </c>
      <c r="H33" s="110" t="s">
        <v>168</v>
      </c>
      <c r="I33" s="110" t="s">
        <v>169</v>
      </c>
      <c r="J33" s="110" t="s">
        <v>170</v>
      </c>
      <c r="K33" s="110" t="s">
        <v>171</v>
      </c>
      <c r="L33" s="110" t="s">
        <v>172</v>
      </c>
      <c r="M33" s="110" t="s">
        <v>188</v>
      </c>
      <c r="N33" s="110" t="s">
        <v>189</v>
      </c>
      <c r="P33" s="126"/>
      <c r="U33" s="5"/>
      <c r="V33" s="111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25">
      <c r="A34" s="120"/>
      <c r="B34" s="121"/>
      <c r="C34" s="122"/>
      <c r="D34" s="122"/>
      <c r="E34" s="123"/>
      <c r="F34" s="123"/>
      <c r="G34" s="123"/>
      <c r="H34" s="123"/>
      <c r="I34" s="123"/>
      <c r="J34" s="123"/>
      <c r="K34" s="123"/>
      <c r="L34" s="123"/>
      <c r="M34" s="122"/>
      <c r="N34" s="122"/>
      <c r="P34" s="126"/>
      <c r="U34" s="5"/>
      <c r="V34" s="111"/>
      <c r="W34" s="5"/>
      <c r="X34" s="5"/>
      <c r="Y34" s="5"/>
      <c r="Z34" s="5"/>
      <c r="AA34" s="5"/>
      <c r="AB34" s="5"/>
      <c r="AC34" s="5"/>
      <c r="AD34" s="5"/>
      <c r="AE34" s="5"/>
    </row>
    <row r="35" spans="1:31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6"/>
      <c r="U35" s="5"/>
      <c r="V35" s="111"/>
      <c r="W35" s="5"/>
      <c r="X35" s="5"/>
      <c r="Y35" s="5"/>
      <c r="Z35" s="5"/>
      <c r="AA35" s="5"/>
      <c r="AB35" s="5"/>
      <c r="AC35" s="5"/>
      <c r="AD35" s="5"/>
      <c r="AE35" s="5"/>
    </row>
    <row r="36" spans="1:31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127"/>
      <c r="U36" s="5"/>
      <c r="V36" s="128"/>
      <c r="W36" s="5"/>
      <c r="X36" s="5"/>
      <c r="Y36" s="5"/>
      <c r="Z36" s="5"/>
      <c r="AA36" s="5"/>
      <c r="AB36" s="5"/>
      <c r="AC36" s="5"/>
      <c r="AD36" s="5"/>
      <c r="AE36" s="5"/>
    </row>
    <row r="37" spans="1:31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P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P38" s="5"/>
    </row>
    <row r="39" spans="1:31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31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31" x14ac:dyDescent="0.25">
      <c r="A41" s="53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31" x14ac:dyDescent="0.25">
      <c r="A42" s="66"/>
      <c r="B42" s="66"/>
      <c r="C42" s="6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31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31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31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31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31" x14ac:dyDescent="0.25">
      <c r="A47" s="5"/>
      <c r="B47" s="5"/>
      <c r="C47" s="67"/>
      <c r="D47" s="5"/>
      <c r="I47" s="28"/>
      <c r="J47" s="28"/>
      <c r="K47" s="28"/>
      <c r="L47" s="28"/>
      <c r="M47" s="28"/>
      <c r="N47" s="28"/>
    </row>
    <row r="48" spans="1:31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B73" s="5"/>
      <c r="C73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A12:N12"/>
    <mergeCell ref="A15:N15"/>
    <mergeCell ref="A26:N26"/>
    <mergeCell ref="A31:N31"/>
    <mergeCell ref="K3:L4"/>
    <mergeCell ref="M3:N4"/>
    <mergeCell ref="E4:F4"/>
    <mergeCell ref="G4:H4"/>
    <mergeCell ref="I4:J4"/>
    <mergeCell ref="A6:N6"/>
  </mergeCells>
  <pageMargins left="0.32291666666666669" right="0.7" top="0.3125" bottom="0.44791666666666669" header="0.3" footer="0.3"/>
  <pageSetup paperSize="9" orientation="landscape" horizontalDpi="4294967293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zoomScaleNormal="100" workbookViewId="0">
      <selection activeCell="A33" sqref="A33:N33"/>
    </sheetView>
  </sheetViews>
  <sheetFormatPr defaultRowHeight="15" x14ac:dyDescent="0.25"/>
  <cols>
    <col min="1" max="1" width="4.85546875" style="113" customWidth="1"/>
    <col min="2" max="2" width="38.85546875" style="113" customWidth="1"/>
    <col min="3" max="3" width="7.28515625" style="113" customWidth="1"/>
    <col min="4" max="4" width="6.5703125" style="113" customWidth="1"/>
    <col min="5" max="5" width="6.7109375" style="113" customWidth="1"/>
    <col min="6" max="6" width="7.42578125" style="113" customWidth="1"/>
    <col min="7" max="7" width="6.42578125" style="113" customWidth="1"/>
    <col min="8" max="8" width="6.5703125" style="113" customWidth="1"/>
    <col min="9" max="9" width="7.28515625" style="113" customWidth="1"/>
    <col min="10" max="10" width="7.5703125" style="113" customWidth="1"/>
    <col min="11" max="12" width="9.42578125" style="113" customWidth="1"/>
    <col min="13" max="13" width="6.5703125" style="113" customWidth="1"/>
    <col min="14" max="14" width="7.28515625" style="113" customWidth="1"/>
    <col min="15" max="15" width="20.7109375" style="113" customWidth="1"/>
    <col min="16" max="16" width="7.28515625" style="113" customWidth="1"/>
    <col min="17" max="20" width="9.140625" style="113"/>
    <col min="21" max="21" width="19.7109375" style="113" customWidth="1"/>
    <col min="22" max="22" width="7.7109375" style="113" customWidth="1"/>
    <col min="23" max="23" width="9.140625" style="113"/>
    <col min="24" max="24" width="7.7109375" style="113" customWidth="1"/>
    <col min="25" max="16384" width="9.140625" style="113"/>
  </cols>
  <sheetData>
    <row r="1" spans="1:26" ht="15.75" x14ac:dyDescent="0.25">
      <c r="A1" s="243" t="s">
        <v>46</v>
      </c>
      <c r="B1" s="243"/>
      <c r="C1" s="243" t="s">
        <v>161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154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68</v>
      </c>
      <c r="B7" s="18" t="s">
        <v>149</v>
      </c>
      <c r="C7" s="39">
        <v>150</v>
      </c>
      <c r="D7" s="45">
        <v>200</v>
      </c>
      <c r="E7" s="37">
        <f>C7*2.88/100</f>
        <v>4.32</v>
      </c>
      <c r="F7" s="41">
        <f>D7*2.88/100</f>
        <v>5.76</v>
      </c>
      <c r="G7" s="37">
        <f>C7*2.61/100</f>
        <v>3.915</v>
      </c>
      <c r="H7" s="42">
        <f>D7*2.61/100</f>
        <v>5.22</v>
      </c>
      <c r="I7" s="39">
        <f>C7*9.42/100</f>
        <v>14.13</v>
      </c>
      <c r="J7" s="42">
        <f>D7*9.42/100</f>
        <v>18.84</v>
      </c>
      <c r="K7" s="37">
        <f t="shared" ref="K7:L10" si="0">E7*4+G7*9+I7*4</f>
        <v>109.035</v>
      </c>
      <c r="L7" s="42">
        <f t="shared" si="0"/>
        <v>145.38</v>
      </c>
      <c r="M7" s="39">
        <f>C7*0.46/100</f>
        <v>0.69</v>
      </c>
      <c r="N7" s="42">
        <f>D7*0.46/100</f>
        <v>0.92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5</v>
      </c>
      <c r="B9" s="18" t="s">
        <v>150</v>
      </c>
      <c r="C9" s="39">
        <v>10</v>
      </c>
      <c r="D9" s="47">
        <v>10</v>
      </c>
      <c r="E9" s="39">
        <v>0.08</v>
      </c>
      <c r="F9" s="42">
        <v>0.08</v>
      </c>
      <c r="G9" s="37">
        <v>7.25</v>
      </c>
      <c r="H9" s="41">
        <v>7.25</v>
      </c>
      <c r="I9" s="39">
        <v>0.13</v>
      </c>
      <c r="J9" s="42">
        <v>0.13</v>
      </c>
      <c r="K9" s="39">
        <f t="shared" si="0"/>
        <v>66.089999999999989</v>
      </c>
      <c r="L9" s="42">
        <f t="shared" si="0"/>
        <v>66.089999999999989</v>
      </c>
      <c r="M9" s="43">
        <v>0</v>
      </c>
      <c r="N9" s="44">
        <v>0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261</v>
      </c>
      <c r="B10" s="19" t="s">
        <v>87</v>
      </c>
      <c r="C10" s="39">
        <v>150</v>
      </c>
      <c r="D10" s="42">
        <v>180</v>
      </c>
      <c r="E10" s="39">
        <v>0.04</v>
      </c>
      <c r="F10" s="42">
        <v>0.06</v>
      </c>
      <c r="G10" s="39">
        <v>0.01</v>
      </c>
      <c r="H10" s="41">
        <v>0.02</v>
      </c>
      <c r="I10" s="37">
        <v>6.99</v>
      </c>
      <c r="J10" s="42">
        <v>9.99</v>
      </c>
      <c r="K10" s="37">
        <f t="shared" si="0"/>
        <v>28.21</v>
      </c>
      <c r="L10" s="41">
        <f t="shared" si="0"/>
        <v>40.380000000000003</v>
      </c>
      <c r="M10" s="37">
        <v>0.02</v>
      </c>
      <c r="N10" s="41">
        <v>0.03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340</v>
      </c>
      <c r="D11" s="48">
        <f>SUM(D7:D10)</f>
        <v>430</v>
      </c>
      <c r="E11" s="31">
        <f t="shared" ref="E11:N11" si="1">SUM(E7:E10)</f>
        <v>6.69</v>
      </c>
      <c r="F11" s="40">
        <f t="shared" si="1"/>
        <v>8.9</v>
      </c>
      <c r="G11" s="31">
        <f t="shared" si="1"/>
        <v>12.045</v>
      </c>
      <c r="H11" s="40">
        <f t="shared" si="1"/>
        <v>13.649999999999999</v>
      </c>
      <c r="I11" s="31">
        <f t="shared" si="1"/>
        <v>36.67</v>
      </c>
      <c r="J11" s="33">
        <f t="shared" si="1"/>
        <v>49.52</v>
      </c>
      <c r="K11" s="31">
        <f t="shared" ref="K11:L11" si="2">E11*4+G11*9+I11*4</f>
        <v>281.84500000000003</v>
      </c>
      <c r="L11" s="40">
        <f t="shared" si="2"/>
        <v>356.53</v>
      </c>
      <c r="M11" s="31">
        <f t="shared" si="1"/>
        <v>0.71</v>
      </c>
      <c r="N11" s="40">
        <f t="shared" si="1"/>
        <v>0.95000000000000007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268</v>
      </c>
      <c r="B13" s="19" t="s">
        <v>44</v>
      </c>
      <c r="C13" s="39">
        <v>150</v>
      </c>
      <c r="D13" s="51">
        <v>180</v>
      </c>
      <c r="E13" s="49">
        <v>0</v>
      </c>
      <c r="F13" s="44">
        <v>0</v>
      </c>
      <c r="G13" s="49">
        <v>0</v>
      </c>
      <c r="H13" s="44">
        <v>0</v>
      </c>
      <c r="I13" s="39">
        <f>C13*15.9/100</f>
        <v>23.85</v>
      </c>
      <c r="J13" s="42">
        <f>D13*15.9/100</f>
        <v>28.62</v>
      </c>
      <c r="K13" s="39">
        <f t="shared" ref="K13:L13" si="3">E13*4+G13*9+I13*4</f>
        <v>95.4</v>
      </c>
      <c r="L13" s="42">
        <f t="shared" si="3"/>
        <v>114.48</v>
      </c>
      <c r="M13" s="49">
        <v>3</v>
      </c>
      <c r="N13" s="42"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4">SUM(E13)</f>
        <v>0</v>
      </c>
      <c r="F14" s="40">
        <f t="shared" si="4"/>
        <v>0</v>
      </c>
      <c r="G14" s="31">
        <f t="shared" si="4"/>
        <v>0</v>
      </c>
      <c r="H14" s="40">
        <f t="shared" si="4"/>
        <v>0</v>
      </c>
      <c r="I14" s="31">
        <f>SUM(I13)</f>
        <v>23.85</v>
      </c>
      <c r="J14" s="33">
        <f t="shared" ref="J14:N14" si="5">SUM(J13)</f>
        <v>28.62</v>
      </c>
      <c r="K14" s="130">
        <f t="shared" ref="K14:L14" si="6">E14*4+G14*9+I14*4</f>
        <v>95.4</v>
      </c>
      <c r="L14" s="33">
        <f t="shared" si="6"/>
        <v>114.48</v>
      </c>
      <c r="M14" s="31">
        <f t="shared" si="5"/>
        <v>3</v>
      </c>
      <c r="N14" s="33">
        <f t="shared" si="5"/>
        <v>3.6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44</v>
      </c>
      <c r="B16" s="19" t="s">
        <v>223</v>
      </c>
      <c r="C16" s="39">
        <v>40</v>
      </c>
      <c r="D16" s="51">
        <v>60</v>
      </c>
      <c r="E16" s="37">
        <v>2.2999999999999998</v>
      </c>
      <c r="F16" s="41">
        <v>3.5</v>
      </c>
      <c r="G16" s="37">
        <v>5.8</v>
      </c>
      <c r="H16" s="41">
        <v>8.8000000000000007</v>
      </c>
      <c r="I16" s="37">
        <v>2.2999999999999998</v>
      </c>
      <c r="J16" s="42">
        <v>3.5</v>
      </c>
      <c r="K16" s="37">
        <v>71.62</v>
      </c>
      <c r="L16" s="41">
        <v>107.4</v>
      </c>
      <c r="M16" s="37">
        <v>18.48</v>
      </c>
      <c r="N16" s="41">
        <v>27.72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17">
        <v>67</v>
      </c>
      <c r="B17" s="116" t="s">
        <v>190</v>
      </c>
      <c r="C17" s="39">
        <v>150</v>
      </c>
      <c r="D17" s="51">
        <v>200</v>
      </c>
      <c r="E17" s="37">
        <f>C17*2.24/100</f>
        <v>3.3600000000000008</v>
      </c>
      <c r="F17" s="41">
        <f>D17*2.24/100</f>
        <v>4.4800000000000004</v>
      </c>
      <c r="G17" s="37">
        <f>C17*1.21/100</f>
        <v>1.8149999999999999</v>
      </c>
      <c r="H17" s="42">
        <f>D17*1.21/100</f>
        <v>2.42</v>
      </c>
      <c r="I17" s="37">
        <f>C17*6.27/100</f>
        <v>9.4049999999999994</v>
      </c>
      <c r="J17" s="42">
        <f>D17*6.27/100</f>
        <v>12.54</v>
      </c>
      <c r="K17" s="37">
        <f t="shared" ref="K17:L21" si="7">E17*4+G17*9+I17*4</f>
        <v>67.39500000000001</v>
      </c>
      <c r="L17" s="41">
        <f t="shared" si="7"/>
        <v>89.86</v>
      </c>
      <c r="M17" s="37">
        <f>C17*4.47/100</f>
        <v>6.7050000000000001</v>
      </c>
      <c r="N17" s="41">
        <f>D17*4.47/100</f>
        <v>8.94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ht="17.25" customHeight="1" x14ac:dyDescent="0.25">
      <c r="A18" s="129">
        <v>208</v>
      </c>
      <c r="B18" s="55" t="s">
        <v>229</v>
      </c>
      <c r="C18" s="39">
        <v>120</v>
      </c>
      <c r="D18" s="42">
        <v>150</v>
      </c>
      <c r="E18" s="37">
        <v>5.28</v>
      </c>
      <c r="F18" s="41">
        <v>6.6</v>
      </c>
      <c r="G18" s="37">
        <v>4.58</v>
      </c>
      <c r="H18" s="42">
        <v>5.7</v>
      </c>
      <c r="I18" s="37">
        <v>30.3</v>
      </c>
      <c r="J18" s="42">
        <v>37.880000000000003</v>
      </c>
      <c r="K18" s="37">
        <v>183</v>
      </c>
      <c r="L18" s="41">
        <v>229</v>
      </c>
      <c r="M18" s="37">
        <f>C18*6.72/100</f>
        <v>8.0640000000000001</v>
      </c>
      <c r="N18" s="41">
        <f>D18*6.72/100</f>
        <v>10.08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>
        <v>191</v>
      </c>
      <c r="B19" s="19" t="s">
        <v>191</v>
      </c>
      <c r="C19" s="39">
        <v>70</v>
      </c>
      <c r="D19" s="42">
        <v>80</v>
      </c>
      <c r="E19" s="37">
        <f>C19*10.61/120</f>
        <v>6.189166666666666</v>
      </c>
      <c r="F19" s="41">
        <f>D19*10.61/120</f>
        <v>7.0733333333333333</v>
      </c>
      <c r="G19" s="37">
        <f>C19*6.81/120</f>
        <v>3.9724999999999997</v>
      </c>
      <c r="H19" s="42">
        <f>D19*6.81/120</f>
        <v>4.54</v>
      </c>
      <c r="I19" s="37">
        <f>C19*15.04/120</f>
        <v>8.7733333333333334</v>
      </c>
      <c r="J19" s="42">
        <f>D19*15.04/120</f>
        <v>10.026666666666666</v>
      </c>
      <c r="K19" s="37">
        <f t="shared" si="7"/>
        <v>95.602499999999992</v>
      </c>
      <c r="L19" s="41">
        <f t="shared" si="7"/>
        <v>109.25999999999999</v>
      </c>
      <c r="M19" s="37">
        <f>C19*15.03/120</f>
        <v>8.7675000000000001</v>
      </c>
      <c r="N19" s="41">
        <f>D19*15.03/120</f>
        <v>10.02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253</v>
      </c>
      <c r="B20" s="19" t="s">
        <v>92</v>
      </c>
      <c r="C20" s="39">
        <v>150</v>
      </c>
      <c r="D20" s="42">
        <v>180</v>
      </c>
      <c r="E20" s="37">
        <f>C20*0.22/100</f>
        <v>0.33</v>
      </c>
      <c r="F20" s="41">
        <f>D20*0.22/100</f>
        <v>0.39600000000000002</v>
      </c>
      <c r="G20" s="39">
        <f>C20*0.01/100</f>
        <v>1.4999999999999999E-2</v>
      </c>
      <c r="H20" s="42">
        <f>D20*0.01/100</f>
        <v>1.8000000000000002E-2</v>
      </c>
      <c r="I20" s="37">
        <f>C20*13.88/100</f>
        <v>20.82</v>
      </c>
      <c r="J20" s="41">
        <f>D20*13.88/100</f>
        <v>24.984000000000002</v>
      </c>
      <c r="K20" s="37">
        <f t="shared" si="7"/>
        <v>84.734999999999999</v>
      </c>
      <c r="L20" s="41">
        <f t="shared" si="7"/>
        <v>101.682</v>
      </c>
      <c r="M20" s="39">
        <f>C20*0.2/100</f>
        <v>0.3</v>
      </c>
      <c r="N20" s="42">
        <f>D20*0.2/100</f>
        <v>0.36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/>
      <c r="B21" s="19" t="s">
        <v>58</v>
      </c>
      <c r="C21" s="39">
        <v>40</v>
      </c>
      <c r="D21" s="42">
        <v>50</v>
      </c>
      <c r="E21" s="37">
        <f>C21*7.92/100</f>
        <v>3.1680000000000001</v>
      </c>
      <c r="F21" s="42">
        <f>D21*7.92/100</f>
        <v>3.96</v>
      </c>
      <c r="G21" s="37">
        <f>C21*1.32/100</f>
        <v>0.52800000000000002</v>
      </c>
      <c r="H21" s="42">
        <f>D21*1.32/100</f>
        <v>0.66</v>
      </c>
      <c r="I21" s="39">
        <f>C21*52.68/100</f>
        <v>21.071999999999999</v>
      </c>
      <c r="J21" s="42">
        <f>D21*52.68/100</f>
        <v>26.34</v>
      </c>
      <c r="K21" s="37">
        <f t="shared" si="7"/>
        <v>101.71199999999999</v>
      </c>
      <c r="L21" s="41">
        <f t="shared" si="7"/>
        <v>127.14</v>
      </c>
      <c r="M21" s="49">
        <v>0</v>
      </c>
      <c r="N21" s="44">
        <v>0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26"/>
      <c r="B22" s="27" t="s">
        <v>83</v>
      </c>
      <c r="C22" s="130">
        <f>SUM(C16:C21)</f>
        <v>570</v>
      </c>
      <c r="D22" s="57">
        <f>SUM(D16:D21)</f>
        <v>720</v>
      </c>
      <c r="E22" s="31">
        <f>SUM(E16:E21)</f>
        <v>20.627166666666664</v>
      </c>
      <c r="F22" s="40">
        <f t="shared" ref="F22:N22" si="8">SUM(F16:F21)</f>
        <v>26.009333333333334</v>
      </c>
      <c r="G22" s="31">
        <f t="shared" si="8"/>
        <v>16.7105</v>
      </c>
      <c r="H22" s="40">
        <f t="shared" si="8"/>
        <v>22.138000000000002</v>
      </c>
      <c r="I22" s="31">
        <f t="shared" si="8"/>
        <v>92.670333333333332</v>
      </c>
      <c r="J22" s="40">
        <f t="shared" si="8"/>
        <v>115.27066666666667</v>
      </c>
      <c r="K22" s="31">
        <f t="shared" si="8"/>
        <v>604.06449999999995</v>
      </c>
      <c r="L22" s="40">
        <f t="shared" si="8"/>
        <v>764.34199999999998</v>
      </c>
      <c r="M22" s="31">
        <f t="shared" si="8"/>
        <v>42.316499999999998</v>
      </c>
      <c r="N22" s="40">
        <f t="shared" si="8"/>
        <v>57.11999999999999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262" t="s">
        <v>60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4"/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17">
        <v>142</v>
      </c>
      <c r="B24" s="19" t="s">
        <v>225</v>
      </c>
      <c r="C24" s="39">
        <v>20</v>
      </c>
      <c r="D24" s="42">
        <v>100</v>
      </c>
      <c r="E24" s="37">
        <v>9.3000000000000007</v>
      </c>
      <c r="F24" s="41">
        <v>18.690000000000001</v>
      </c>
      <c r="G24" s="37">
        <v>6.33</v>
      </c>
      <c r="H24" s="41">
        <v>12.67</v>
      </c>
      <c r="I24" s="37">
        <v>5.38</v>
      </c>
      <c r="J24" s="41">
        <v>11.4</v>
      </c>
      <c r="K24" s="37">
        <v>116</v>
      </c>
      <c r="L24" s="41">
        <v>234</v>
      </c>
      <c r="M24" s="37">
        <v>0.13</v>
      </c>
      <c r="N24" s="41">
        <v>0.25</v>
      </c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17">
        <v>238</v>
      </c>
      <c r="B25" s="19" t="s">
        <v>137</v>
      </c>
      <c r="C25" s="39">
        <v>30</v>
      </c>
      <c r="D25" s="42">
        <v>30</v>
      </c>
      <c r="E25" s="37">
        <f>C25*1.94/100</f>
        <v>0.58199999999999996</v>
      </c>
      <c r="F25" s="41">
        <f>D25*1.94/100</f>
        <v>0.58199999999999996</v>
      </c>
      <c r="G25" s="37">
        <f>C25*4.52/100</f>
        <v>1.3559999999999999</v>
      </c>
      <c r="H25" s="41">
        <f>D25*4.52/100</f>
        <v>1.3559999999999999</v>
      </c>
      <c r="I25" s="37">
        <f>C25*13.26/100</f>
        <v>3.9780000000000002</v>
      </c>
      <c r="J25" s="41">
        <f>D25*13.26/100</f>
        <v>3.9780000000000002</v>
      </c>
      <c r="K25" s="37">
        <f t="shared" ref="K25:L27" si="9">E25*4+G25*9+I25*4</f>
        <v>30.443999999999999</v>
      </c>
      <c r="L25" s="41">
        <f t="shared" si="9"/>
        <v>30.443999999999999</v>
      </c>
      <c r="M25" s="37">
        <f>C25*0.33/100</f>
        <v>9.9000000000000005E-2</v>
      </c>
      <c r="N25" s="41">
        <f>D25*0.33/100</f>
        <v>9.9000000000000005E-2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263</v>
      </c>
      <c r="B26" s="19" t="s">
        <v>146</v>
      </c>
      <c r="C26" s="39">
        <v>150</v>
      </c>
      <c r="D26" s="42">
        <v>180</v>
      </c>
      <c r="E26" s="39">
        <v>2.65</v>
      </c>
      <c r="F26" s="42">
        <v>2.67</v>
      </c>
      <c r="G26" s="39">
        <v>2.33</v>
      </c>
      <c r="H26" s="41">
        <v>2.34</v>
      </c>
      <c r="I26" s="37">
        <v>11.31</v>
      </c>
      <c r="J26" s="42">
        <v>14.31</v>
      </c>
      <c r="K26" s="37">
        <f t="shared" si="9"/>
        <v>76.81</v>
      </c>
      <c r="L26" s="41">
        <f t="shared" si="9"/>
        <v>88.98</v>
      </c>
      <c r="M26" s="37">
        <v>0.02</v>
      </c>
      <c r="N26" s="41">
        <v>0.03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>
        <v>248</v>
      </c>
      <c r="B27" s="19" t="s">
        <v>79</v>
      </c>
      <c r="C27" s="39">
        <v>100</v>
      </c>
      <c r="D27" s="42">
        <v>100</v>
      </c>
      <c r="E27" s="37">
        <v>0.4</v>
      </c>
      <c r="F27" s="41">
        <v>0.4</v>
      </c>
      <c r="G27" s="37">
        <v>0.4</v>
      </c>
      <c r="H27" s="41">
        <v>0.4</v>
      </c>
      <c r="I27" s="37">
        <v>9.8000000000000007</v>
      </c>
      <c r="J27" s="41">
        <v>9.8000000000000007</v>
      </c>
      <c r="K27" s="37">
        <f t="shared" si="9"/>
        <v>44.400000000000006</v>
      </c>
      <c r="L27" s="41">
        <f t="shared" si="9"/>
        <v>44.400000000000006</v>
      </c>
      <c r="M27" s="37">
        <v>10</v>
      </c>
      <c r="N27" s="41">
        <v>10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/>
      <c r="B28" s="27" t="s">
        <v>80</v>
      </c>
      <c r="C28" s="130">
        <f>SUM(C24:C27)</f>
        <v>300</v>
      </c>
      <c r="D28" s="33">
        <f>SUM(D24:D27)</f>
        <v>410</v>
      </c>
      <c r="E28" s="31">
        <f t="shared" ref="E28:N28" si="10">SUM(E24:E27)</f>
        <v>12.932000000000002</v>
      </c>
      <c r="F28" s="40">
        <f>SUM(F24:F27)</f>
        <v>22.341999999999999</v>
      </c>
      <c r="G28" s="31">
        <f t="shared" si="10"/>
        <v>10.416</v>
      </c>
      <c r="H28" s="33">
        <f t="shared" si="10"/>
        <v>16.765999999999998</v>
      </c>
      <c r="I28" s="31">
        <f t="shared" si="10"/>
        <v>30.468</v>
      </c>
      <c r="J28" s="40">
        <f t="shared" si="10"/>
        <v>39.488</v>
      </c>
      <c r="K28" s="31">
        <f t="shared" si="10"/>
        <v>267.654</v>
      </c>
      <c r="L28" s="40">
        <f t="shared" si="10"/>
        <v>397.82400000000007</v>
      </c>
      <c r="M28" s="31">
        <f t="shared" si="10"/>
        <v>10.249000000000001</v>
      </c>
      <c r="N28" s="40">
        <f t="shared" si="10"/>
        <v>10.379</v>
      </c>
      <c r="O28" s="66"/>
      <c r="P28" s="131"/>
      <c r="Q28" s="111"/>
      <c r="R28" s="111"/>
      <c r="S28" s="111"/>
      <c r="T28" s="111"/>
      <c r="U28" s="66"/>
      <c r="V28" s="67"/>
      <c r="W28" s="111"/>
      <c r="X28" s="111"/>
      <c r="Y28" s="111"/>
      <c r="Z28" s="111"/>
    </row>
    <row r="29" spans="1:26" x14ac:dyDescent="0.25">
      <c r="A29" s="265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7"/>
      <c r="O29" s="134"/>
      <c r="P29" s="5"/>
      <c r="Q29" s="111"/>
      <c r="R29" s="111"/>
      <c r="S29" s="111"/>
      <c r="T29" s="111"/>
      <c r="U29" s="5"/>
      <c r="V29" s="5"/>
      <c r="W29" s="111"/>
      <c r="X29" s="111"/>
      <c r="Y29" s="111"/>
      <c r="Z29" s="111"/>
    </row>
    <row r="30" spans="1:26" x14ac:dyDescent="0.25">
      <c r="A30" s="17"/>
      <c r="B30" s="106" t="s">
        <v>59</v>
      </c>
      <c r="C30" s="105"/>
      <c r="D30" s="105"/>
      <c r="E30" s="31">
        <f>E11+E14+E22+E28</f>
        <v>40.249166666666667</v>
      </c>
      <c r="F30" s="40">
        <f t="shared" ref="F30:N30" si="11">F11+F14+F22+F28</f>
        <v>57.251333333333335</v>
      </c>
      <c r="G30" s="31">
        <f t="shared" si="11"/>
        <v>39.171499999999995</v>
      </c>
      <c r="H30" s="40">
        <f t="shared" si="11"/>
        <v>52.553999999999995</v>
      </c>
      <c r="I30" s="31">
        <f t="shared" si="11"/>
        <v>183.65833333333333</v>
      </c>
      <c r="J30" s="40">
        <f t="shared" si="11"/>
        <v>232.89866666666666</v>
      </c>
      <c r="K30" s="31">
        <f t="shared" si="11"/>
        <v>1248.9634999999998</v>
      </c>
      <c r="L30" s="40">
        <f t="shared" si="11"/>
        <v>1633.1759999999999</v>
      </c>
      <c r="M30" s="31">
        <f t="shared" si="11"/>
        <v>56.275500000000001</v>
      </c>
      <c r="N30" s="40">
        <f t="shared" si="11"/>
        <v>72.048999999999992</v>
      </c>
      <c r="O30" s="5"/>
      <c r="P30" s="132"/>
      <c r="Q30" s="5"/>
      <c r="R30" s="5"/>
      <c r="S30" s="5"/>
      <c r="T30" s="5"/>
      <c r="U30" s="5"/>
      <c r="V30" s="133"/>
      <c r="W30" s="5"/>
      <c r="X30" s="5"/>
      <c r="Y30" s="5"/>
      <c r="Z30" s="5"/>
    </row>
    <row r="31" spans="1:26" x14ac:dyDescent="0.25">
      <c r="A31" s="26"/>
      <c r="B31" s="106" t="s">
        <v>174</v>
      </c>
      <c r="C31" s="105"/>
      <c r="D31" s="105"/>
      <c r="E31" s="108" t="s">
        <v>165</v>
      </c>
      <c r="F31" s="108" t="s">
        <v>166</v>
      </c>
      <c r="G31" s="108" t="s">
        <v>167</v>
      </c>
      <c r="H31" s="108" t="s">
        <v>168</v>
      </c>
      <c r="I31" s="108" t="s">
        <v>169</v>
      </c>
      <c r="J31" s="108" t="s">
        <v>170</v>
      </c>
      <c r="K31" s="108" t="s">
        <v>171</v>
      </c>
      <c r="L31" s="108" t="s">
        <v>172</v>
      </c>
      <c r="M31" s="108" t="s">
        <v>188</v>
      </c>
      <c r="N31" s="108" t="s">
        <v>189</v>
      </c>
      <c r="O31" s="5"/>
      <c r="P31" s="132"/>
      <c r="Q31" s="5"/>
      <c r="R31" s="5"/>
      <c r="S31" s="5"/>
      <c r="T31" s="5"/>
      <c r="U31" s="5"/>
      <c r="V31" s="67"/>
      <c r="W31" s="5"/>
      <c r="X31" s="5"/>
      <c r="Y31" s="5"/>
      <c r="Z31" s="5"/>
    </row>
    <row r="32" spans="1:26" x14ac:dyDescent="0.25">
      <c r="A32" s="120"/>
      <c r="B32" s="121"/>
      <c r="C32" s="122"/>
      <c r="D32" s="122"/>
      <c r="E32" s="123"/>
      <c r="F32" s="123"/>
      <c r="G32" s="123"/>
      <c r="H32" s="123"/>
      <c r="I32" s="123"/>
      <c r="J32" s="123"/>
      <c r="K32" s="123"/>
      <c r="L32" s="123"/>
      <c r="M32" s="122"/>
      <c r="N32" s="122"/>
      <c r="O32" s="5"/>
      <c r="P32" s="126"/>
      <c r="Q32" s="5"/>
      <c r="R32" s="5"/>
      <c r="S32" s="5"/>
      <c r="T32" s="5"/>
      <c r="U32" s="5"/>
      <c r="V32" s="111"/>
      <c r="W32" s="5"/>
      <c r="X32" s="5"/>
      <c r="Y32" s="5"/>
      <c r="Z32" s="5"/>
    </row>
    <row r="33" spans="1:26" x14ac:dyDescent="0.25">
      <c r="A33" s="272" t="s">
        <v>192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5"/>
      <c r="P33" s="126"/>
      <c r="Q33" s="5"/>
      <c r="R33" s="5"/>
      <c r="S33" s="5"/>
      <c r="T33" s="5"/>
      <c r="U33" s="5"/>
      <c r="V33" s="111"/>
      <c r="W33" s="5"/>
      <c r="X33" s="5"/>
      <c r="Y33" s="5"/>
      <c r="Z33" s="5"/>
    </row>
    <row r="34" spans="1:26" x14ac:dyDescent="0.25">
      <c r="A34" s="272" t="s">
        <v>193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5"/>
      <c r="P34" s="126"/>
      <c r="Q34" s="5"/>
      <c r="R34" s="5"/>
      <c r="S34" s="5"/>
      <c r="T34" s="5"/>
      <c r="U34" s="5"/>
      <c r="V34" s="111"/>
      <c r="W34" s="5"/>
      <c r="X34" s="5"/>
      <c r="Y34" s="5"/>
      <c r="Z34" s="5"/>
    </row>
    <row r="35" spans="1:26" x14ac:dyDescent="0.25">
      <c r="A35" s="138" t="s">
        <v>194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5"/>
      <c r="P35" s="127"/>
      <c r="Q35" s="5"/>
      <c r="R35" s="5"/>
      <c r="S35" s="5"/>
      <c r="T35" s="5"/>
      <c r="U35" s="5"/>
      <c r="V35" s="128"/>
      <c r="W35" s="5"/>
      <c r="X35" s="5"/>
      <c r="Y35" s="5"/>
      <c r="Z35" s="5"/>
    </row>
    <row r="36" spans="1:26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6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6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6" x14ac:dyDescent="0.25">
      <c r="A41" s="66"/>
      <c r="B41" s="66"/>
      <c r="C41" s="66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6" x14ac:dyDescent="0.25">
      <c r="A42" s="5"/>
      <c r="B42" s="5"/>
      <c r="C42" s="67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"/>
    </row>
    <row r="43" spans="1:26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6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6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6" x14ac:dyDescent="0.25">
      <c r="A46" s="5"/>
      <c r="B46" s="5"/>
      <c r="C46" s="67"/>
      <c r="D46" s="5"/>
      <c r="I46" s="28"/>
      <c r="J46" s="28"/>
      <c r="K46" s="28"/>
      <c r="L46" s="28"/>
      <c r="M46" s="28"/>
      <c r="N46" s="28"/>
    </row>
    <row r="47" spans="1:26" x14ac:dyDescent="0.25">
      <c r="A47" s="5"/>
      <c r="B47" s="5"/>
      <c r="C47" s="67"/>
      <c r="D47" s="5"/>
    </row>
    <row r="48" spans="1:26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</sheetData>
  <mergeCells count="20">
    <mergeCell ref="A6:N6"/>
    <mergeCell ref="A1:B1"/>
    <mergeCell ref="C1:H1"/>
    <mergeCell ref="A2:B2"/>
    <mergeCell ref="C2:H2"/>
    <mergeCell ref="A3:A5"/>
    <mergeCell ref="B3:B5"/>
    <mergeCell ref="C3:D4"/>
    <mergeCell ref="E3:J3"/>
    <mergeCell ref="K3:L4"/>
    <mergeCell ref="M3:N4"/>
    <mergeCell ref="E4:F4"/>
    <mergeCell ref="G4:H4"/>
    <mergeCell ref="I4:J4"/>
    <mergeCell ref="A33:N33"/>
    <mergeCell ref="A34:N34"/>
    <mergeCell ref="A12:N12"/>
    <mergeCell ref="A15:N15"/>
    <mergeCell ref="A23:N23"/>
    <mergeCell ref="A29:N29"/>
  </mergeCells>
  <pageMargins left="0.25" right="0.94791666666666663" top="0.23958333333333334" bottom="0.26041666666666669" header="0.3" footer="0.3"/>
  <pageSetup paperSize="9" orientation="landscape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tabSelected="1" zoomScaleNormal="100" workbookViewId="0">
      <selection activeCell="D23" sqref="D23"/>
    </sheetView>
  </sheetViews>
  <sheetFormatPr defaultRowHeight="15" x14ac:dyDescent="0.25"/>
  <cols>
    <col min="1" max="1" width="4.85546875" customWidth="1"/>
    <col min="2" max="2" width="37" customWidth="1"/>
    <col min="3" max="3" width="7.28515625" customWidth="1"/>
    <col min="4" max="4" width="6.5703125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6.5703125" customWidth="1"/>
    <col min="14" max="14" width="7.28515625" customWidth="1"/>
    <col min="15" max="15" width="20.7109375" customWidth="1"/>
    <col min="16" max="16" width="7.28515625" customWidth="1"/>
    <col min="19" max="19" width="9.140625" style="64"/>
    <col min="21" max="21" width="19.7109375" customWidth="1"/>
    <col min="22" max="22" width="7.7109375" customWidth="1"/>
    <col min="24" max="24" width="7.7109375" customWidth="1"/>
  </cols>
  <sheetData>
    <row r="1" spans="1:26" ht="15.75" x14ac:dyDescent="0.25">
      <c r="A1" s="243" t="s">
        <v>46</v>
      </c>
      <c r="B1" s="243"/>
      <c r="C1" s="243" t="s">
        <v>160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48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s="30" customFormat="1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42">
        <v>106</v>
      </c>
      <c r="B7" s="18" t="s">
        <v>203</v>
      </c>
      <c r="C7" s="39">
        <v>150</v>
      </c>
      <c r="D7" s="45">
        <v>180</v>
      </c>
      <c r="E7" s="37">
        <v>4.1100000000000003</v>
      </c>
      <c r="F7" s="41">
        <v>4.93</v>
      </c>
      <c r="G7" s="37">
        <v>4.29</v>
      </c>
      <c r="H7" s="41">
        <v>5.15</v>
      </c>
      <c r="I7" s="37">
        <v>25.2</v>
      </c>
      <c r="J7" s="41">
        <v>30.24</v>
      </c>
      <c r="K7" s="37">
        <v>153.9</v>
      </c>
      <c r="L7" s="41">
        <v>184.68</v>
      </c>
      <c r="M7" s="37">
        <v>0</v>
      </c>
      <c r="N7" s="41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>
        <v>1</v>
      </c>
      <c r="B8" s="16" t="s">
        <v>201</v>
      </c>
      <c r="C8" s="38">
        <v>30</v>
      </c>
      <c r="D8" s="46">
        <v>40</v>
      </c>
      <c r="E8" s="143">
        <f>C8*2.46/40</f>
        <v>1.845</v>
      </c>
      <c r="F8" s="144">
        <f>D8*2.46/40</f>
        <v>2.46</v>
      </c>
      <c r="G8" s="37">
        <f>C8*7.55/40</f>
        <v>5.6624999999999996</v>
      </c>
      <c r="H8" s="42">
        <f>D8*7.55/40</f>
        <v>7.55</v>
      </c>
      <c r="I8" s="37">
        <f>C8*14.62/40</f>
        <v>10.965</v>
      </c>
      <c r="J8" s="42">
        <f>D8*14.62/40</f>
        <v>14.62</v>
      </c>
      <c r="K8" s="37">
        <f t="shared" ref="K8:L10" si="0">E8*4+G8*9+I8*4</f>
        <v>102.2025</v>
      </c>
      <c r="L8" s="42">
        <f t="shared" si="0"/>
        <v>136.27000000000001</v>
      </c>
      <c r="M8" s="69">
        <v>0</v>
      </c>
      <c r="N8" s="41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262</v>
      </c>
      <c r="B9" s="19" t="s">
        <v>57</v>
      </c>
      <c r="C9" s="39">
        <v>150</v>
      </c>
      <c r="D9" s="42">
        <v>180</v>
      </c>
      <c r="E9" s="39">
        <f>C9*0.07/150</f>
        <v>7.0000000000000007E-2</v>
      </c>
      <c r="F9" s="42">
        <f>D9*0.12/180</f>
        <v>0.11999999999999998</v>
      </c>
      <c r="G9" s="39">
        <f>C9*0.01/150</f>
        <v>0.01</v>
      </c>
      <c r="H9" s="42">
        <f>D9*0.02/180</f>
        <v>0.02</v>
      </c>
      <c r="I9" s="37">
        <f>C9*7.1/150</f>
        <v>7.1</v>
      </c>
      <c r="J9" s="41">
        <f>D9*10.2/180</f>
        <v>10.199999999999999</v>
      </c>
      <c r="K9" s="37">
        <f t="shared" si="0"/>
        <v>28.77</v>
      </c>
      <c r="L9" s="41">
        <f t="shared" si="0"/>
        <v>41.459999999999994</v>
      </c>
      <c r="M9" s="37">
        <f>C9*1.42/150</f>
        <v>1.42</v>
      </c>
      <c r="N9" s="41">
        <f>D9*2.83/180</f>
        <v>2.83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26"/>
      <c r="B10" s="27" t="s">
        <v>81</v>
      </c>
      <c r="C10" s="130">
        <f t="shared" ref="C10:J10" si="1">SUM(C7:C9)</f>
        <v>330</v>
      </c>
      <c r="D10" s="48">
        <f t="shared" si="1"/>
        <v>400</v>
      </c>
      <c r="E10" s="31">
        <f t="shared" si="1"/>
        <v>6.0250000000000004</v>
      </c>
      <c r="F10" s="40">
        <f t="shared" si="1"/>
        <v>7.51</v>
      </c>
      <c r="G10" s="31">
        <f t="shared" si="1"/>
        <v>9.9625000000000004</v>
      </c>
      <c r="H10" s="40">
        <f t="shared" si="1"/>
        <v>12.719999999999999</v>
      </c>
      <c r="I10" s="31">
        <f t="shared" si="1"/>
        <v>43.265000000000001</v>
      </c>
      <c r="J10" s="40">
        <f t="shared" si="1"/>
        <v>55.06</v>
      </c>
      <c r="K10" s="31">
        <f t="shared" si="0"/>
        <v>286.82249999999999</v>
      </c>
      <c r="L10" s="40">
        <f t="shared" si="0"/>
        <v>364.76</v>
      </c>
      <c r="M10" s="31">
        <f>SUM(M7:M9)</f>
        <v>1.42</v>
      </c>
      <c r="N10" s="40">
        <f>SUM(N7:N9)</f>
        <v>2.83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55" t="s">
        <v>26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7"/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17">
        <v>268</v>
      </c>
      <c r="B12" s="19" t="s">
        <v>44</v>
      </c>
      <c r="C12" s="39">
        <v>150</v>
      </c>
      <c r="D12" s="51">
        <v>180</v>
      </c>
      <c r="E12" s="49">
        <v>0</v>
      </c>
      <c r="F12" s="44">
        <v>0</v>
      </c>
      <c r="G12" s="49">
        <v>0</v>
      </c>
      <c r="H12" s="44">
        <v>0</v>
      </c>
      <c r="I12" s="39">
        <f>C12*15.9/100</f>
        <v>23.85</v>
      </c>
      <c r="J12" s="42">
        <f>D12*15.9/100</f>
        <v>28.62</v>
      </c>
      <c r="K12" s="37">
        <f t="shared" ref="K12:L13" si="2">E12*4+G12*9+I12*4</f>
        <v>95.4</v>
      </c>
      <c r="L12" s="42">
        <f t="shared" si="2"/>
        <v>114.48</v>
      </c>
      <c r="M12" s="37">
        <v>3</v>
      </c>
      <c r="N12" s="41">
        <v>3.6</v>
      </c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/>
      <c r="B13" s="27" t="s">
        <v>82</v>
      </c>
      <c r="C13" s="130">
        <f>SUM(C12)</f>
        <v>150</v>
      </c>
      <c r="D13" s="57">
        <f>SUM(D12)</f>
        <v>180</v>
      </c>
      <c r="E13" s="50">
        <f t="shared" ref="E13:H13" si="3">SUM(E12)</f>
        <v>0</v>
      </c>
      <c r="F13" s="52">
        <f t="shared" si="3"/>
        <v>0</v>
      </c>
      <c r="G13" s="50">
        <f t="shared" si="3"/>
        <v>0</v>
      </c>
      <c r="H13" s="52">
        <f t="shared" si="3"/>
        <v>0</v>
      </c>
      <c r="I13" s="130">
        <f>SUM(I12)</f>
        <v>23.85</v>
      </c>
      <c r="J13" s="33">
        <f t="shared" ref="J13:N13" si="4">SUM(J12)</f>
        <v>28.62</v>
      </c>
      <c r="K13" s="31">
        <f t="shared" si="2"/>
        <v>95.4</v>
      </c>
      <c r="L13" s="33">
        <f t="shared" si="2"/>
        <v>114.48</v>
      </c>
      <c r="M13" s="31">
        <f t="shared" si="4"/>
        <v>3</v>
      </c>
      <c r="N13" s="40">
        <f t="shared" si="4"/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255" t="s">
        <v>45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7"/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17">
        <v>15</v>
      </c>
      <c r="B15" s="19" t="s">
        <v>204</v>
      </c>
      <c r="C15" s="39">
        <v>40</v>
      </c>
      <c r="D15" s="51">
        <v>60</v>
      </c>
      <c r="E15" s="37">
        <v>0.43</v>
      </c>
      <c r="F15" s="41">
        <v>0.66</v>
      </c>
      <c r="G15" s="37">
        <v>3.99</v>
      </c>
      <c r="H15" s="41">
        <v>6</v>
      </c>
      <c r="I15" s="37">
        <v>3.5</v>
      </c>
      <c r="J15" s="42">
        <v>5.34</v>
      </c>
      <c r="K15" s="37">
        <v>52</v>
      </c>
      <c r="L15" s="41">
        <v>77.900000000000006</v>
      </c>
      <c r="M15" s="37">
        <v>1.3</v>
      </c>
      <c r="N15" s="41">
        <v>1.96</v>
      </c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60</v>
      </c>
      <c r="B16" s="19" t="s">
        <v>51</v>
      </c>
      <c r="C16" s="39">
        <v>150</v>
      </c>
      <c r="D16" s="51">
        <v>40</v>
      </c>
      <c r="E16" s="37">
        <f>C16*0.84/100</f>
        <v>1.26</v>
      </c>
      <c r="F16" s="41">
        <f>D16*0.84/100</f>
        <v>0.33600000000000002</v>
      </c>
      <c r="G16" s="37">
        <f>C16*2.05/100</f>
        <v>3.0750000000000002</v>
      </c>
      <c r="H16" s="41">
        <f>D16*2.05/100</f>
        <v>0.82</v>
      </c>
      <c r="I16" s="39">
        <f>C16*6.64/100</f>
        <v>9.9600000000000009</v>
      </c>
      <c r="J16" s="42">
        <f>D16*6.64/100</f>
        <v>2.6559999999999997</v>
      </c>
      <c r="K16" s="37">
        <f t="shared" ref="K16:L27" si="5">E16*4+G16*9+I16*4</f>
        <v>72.555000000000007</v>
      </c>
      <c r="L16" s="41">
        <f t="shared" si="5"/>
        <v>19.347999999999999</v>
      </c>
      <c r="M16" s="39">
        <f>C16*3.02/100</f>
        <v>4.53</v>
      </c>
      <c r="N16" s="42">
        <f>D16*3.02/100</f>
        <v>1.208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54"/>
      <c r="B17" s="55" t="s">
        <v>157</v>
      </c>
      <c r="C17" s="39">
        <v>20</v>
      </c>
      <c r="D17" s="42">
        <v>24</v>
      </c>
      <c r="E17" s="39">
        <f>C17*13.56/60</f>
        <v>4.5199999999999996</v>
      </c>
      <c r="F17" s="41">
        <f>D17*18.08/80</f>
        <v>5.4239999999999995</v>
      </c>
      <c r="G17" s="37">
        <f>C17*10.2/60</f>
        <v>3.4</v>
      </c>
      <c r="H17" s="42">
        <f>D17*13.6/80</f>
        <v>4.08</v>
      </c>
      <c r="I17" s="49">
        <v>0</v>
      </c>
      <c r="J17" s="44">
        <v>0</v>
      </c>
      <c r="K17" s="37">
        <f t="shared" si="5"/>
        <v>48.679999999999993</v>
      </c>
      <c r="L17" s="41">
        <f t="shared" si="5"/>
        <v>58.415999999999997</v>
      </c>
      <c r="M17" s="49">
        <v>0</v>
      </c>
      <c r="N17" s="44">
        <v>0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17"/>
      <c r="B18" s="19" t="s">
        <v>56</v>
      </c>
      <c r="C18" s="39">
        <v>10</v>
      </c>
      <c r="D18" s="42">
        <v>10</v>
      </c>
      <c r="E18" s="39">
        <f>C18*2.6/100</f>
        <v>0.26</v>
      </c>
      <c r="F18" s="42">
        <f>D18*2.6/100</f>
        <v>0.26</v>
      </c>
      <c r="G18" s="37">
        <f>C18*15/100</f>
        <v>1.5</v>
      </c>
      <c r="H18" s="41">
        <f>D18*15/100</f>
        <v>1.5</v>
      </c>
      <c r="I18" s="39">
        <f>C18*3.6/100</f>
        <v>0.36</v>
      </c>
      <c r="J18" s="42">
        <f>D18*3.6/100</f>
        <v>0.36</v>
      </c>
      <c r="K18" s="37">
        <f t="shared" si="5"/>
        <v>15.979999999999999</v>
      </c>
      <c r="L18" s="41">
        <f t="shared" si="5"/>
        <v>15.979999999999999</v>
      </c>
      <c r="M18" s="39">
        <f>C18*0.4/100</f>
        <v>0.04</v>
      </c>
      <c r="N18" s="42">
        <f>D18*0.4/100</f>
        <v>0.04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>
        <v>124</v>
      </c>
      <c r="B19" s="19" t="s">
        <v>54</v>
      </c>
      <c r="C19" s="39">
        <v>120</v>
      </c>
      <c r="D19" s="42">
        <v>150</v>
      </c>
      <c r="E19" s="37">
        <f>C19*5.68/100</f>
        <v>6.8159999999999989</v>
      </c>
      <c r="F19" s="41">
        <f>D19*7.57/100</f>
        <v>11.355</v>
      </c>
      <c r="G19" s="39">
        <f>C19*4.36/100</f>
        <v>5.2320000000000002</v>
      </c>
      <c r="H19" s="41">
        <f>D19*4.63/100</f>
        <v>6.9450000000000003</v>
      </c>
      <c r="I19" s="37">
        <f>C19*27.25/100</f>
        <v>32.700000000000003</v>
      </c>
      <c r="J19" s="41">
        <f>D19*36.31/100</f>
        <v>54.465000000000003</v>
      </c>
      <c r="K19" s="37">
        <f t="shared" si="5"/>
        <v>205.15200000000002</v>
      </c>
      <c r="L19" s="41">
        <f t="shared" si="5"/>
        <v>325.78500000000003</v>
      </c>
      <c r="M19" s="49">
        <v>0</v>
      </c>
      <c r="N19" s="44">
        <v>0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177</v>
      </c>
      <c r="B20" s="19" t="s">
        <v>78</v>
      </c>
      <c r="C20" s="39">
        <v>90</v>
      </c>
      <c r="D20" s="42">
        <v>110</v>
      </c>
      <c r="E20" s="37">
        <f>C20*15.42/120</f>
        <v>11.565</v>
      </c>
      <c r="F20" s="41">
        <f>D20*20.63/160</f>
        <v>14.183124999999999</v>
      </c>
      <c r="G20" s="37">
        <f>C20*12.41/120</f>
        <v>9.307500000000001</v>
      </c>
      <c r="H20" s="42">
        <f>D20*16.3/160</f>
        <v>11.206250000000001</v>
      </c>
      <c r="I20" s="39">
        <f>C20*3.96/120</f>
        <v>2.9699999999999998</v>
      </c>
      <c r="J20" s="41">
        <f>D20*5.24/160</f>
        <v>3.6025</v>
      </c>
      <c r="K20" s="37">
        <f t="shared" si="5"/>
        <v>141.9075</v>
      </c>
      <c r="L20" s="41">
        <f t="shared" si="5"/>
        <v>171.99875</v>
      </c>
      <c r="M20" s="39">
        <f>C20*0.6/120</f>
        <v>0.45</v>
      </c>
      <c r="N20" s="41">
        <f>D20*1.11/160</f>
        <v>0.76312500000000005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253</v>
      </c>
      <c r="B21" s="19" t="s">
        <v>135</v>
      </c>
      <c r="C21" s="39">
        <v>150</v>
      </c>
      <c r="D21" s="42">
        <v>180</v>
      </c>
      <c r="E21" s="39">
        <f>C21*0.22/100</f>
        <v>0.33</v>
      </c>
      <c r="F21" s="41">
        <f>D21*0.22/100</f>
        <v>0.39600000000000002</v>
      </c>
      <c r="G21" s="37">
        <f>C21*0.01/100</f>
        <v>1.4999999999999999E-2</v>
      </c>
      <c r="H21" s="41">
        <f>D21*0.01/100</f>
        <v>1.8000000000000002E-2</v>
      </c>
      <c r="I21" s="37">
        <f>C21*13.88/100</f>
        <v>20.82</v>
      </c>
      <c r="J21" s="41">
        <f>D21*13.88/100</f>
        <v>24.984000000000002</v>
      </c>
      <c r="K21" s="37">
        <f t="shared" si="5"/>
        <v>84.734999999999999</v>
      </c>
      <c r="L21" s="41">
        <f t="shared" si="5"/>
        <v>101.682</v>
      </c>
      <c r="M21" s="37">
        <f>C21*0.2/100</f>
        <v>0.3</v>
      </c>
      <c r="N21" s="42">
        <f>D21*0.2/100</f>
        <v>0.36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/>
      <c r="B22" s="19" t="s">
        <v>58</v>
      </c>
      <c r="C22" s="39">
        <v>40</v>
      </c>
      <c r="D22" s="42">
        <v>50</v>
      </c>
      <c r="E22" s="37">
        <f>C22*7.92/100</f>
        <v>3.1680000000000001</v>
      </c>
      <c r="F22" s="42">
        <f>D22*7.92/100</f>
        <v>3.96</v>
      </c>
      <c r="G22" s="37">
        <f>C22*1.32/100</f>
        <v>0.52800000000000002</v>
      </c>
      <c r="H22" s="41">
        <f>D22*1.32/100</f>
        <v>0.66</v>
      </c>
      <c r="I22" s="37">
        <f>C22*52.68/100</f>
        <v>21.071999999999999</v>
      </c>
      <c r="J22" s="42">
        <f>D22*52.68/100</f>
        <v>26.34</v>
      </c>
      <c r="K22" s="37">
        <f t="shared" si="5"/>
        <v>101.71199999999999</v>
      </c>
      <c r="L22" s="41">
        <f t="shared" si="5"/>
        <v>127.14</v>
      </c>
      <c r="M22" s="49">
        <v>0</v>
      </c>
      <c r="N22" s="44">
        <v>0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17"/>
      <c r="B23" s="27" t="s">
        <v>83</v>
      </c>
      <c r="C23" s="130">
        <f t="shared" ref="C23:J23" si="6">SUM(C15:C22)</f>
        <v>620</v>
      </c>
      <c r="D23" s="57">
        <f t="shared" si="6"/>
        <v>624</v>
      </c>
      <c r="E23" s="31">
        <f t="shared" si="6"/>
        <v>28.348999999999997</v>
      </c>
      <c r="F23" s="40">
        <f t="shared" si="6"/>
        <v>36.574125000000002</v>
      </c>
      <c r="G23" s="130">
        <f t="shared" si="6"/>
        <v>27.047499999999999</v>
      </c>
      <c r="H23" s="40">
        <f t="shared" si="6"/>
        <v>31.22925</v>
      </c>
      <c r="I23" s="31">
        <f t="shared" si="6"/>
        <v>91.382000000000005</v>
      </c>
      <c r="J23" s="40">
        <f t="shared" si="6"/>
        <v>117.7475</v>
      </c>
      <c r="K23" s="31">
        <f t="shared" si="5"/>
        <v>722.35149999999999</v>
      </c>
      <c r="L23" s="40">
        <f t="shared" si="5"/>
        <v>898.34974999999997</v>
      </c>
      <c r="M23" s="31">
        <f>SUM(M15:M22)</f>
        <v>6.62</v>
      </c>
      <c r="N23" s="40">
        <f>SUM(N15:N22)</f>
        <v>4.3311250000000001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262" t="s">
        <v>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s="36" customFormat="1" x14ac:dyDescent="0.25">
      <c r="A25" s="17">
        <v>293</v>
      </c>
      <c r="B25" s="19" t="s">
        <v>61</v>
      </c>
      <c r="C25" s="39">
        <v>50</v>
      </c>
      <c r="D25" s="42">
        <v>50</v>
      </c>
      <c r="E25" s="37">
        <f>C25*3.9/50</f>
        <v>3.9</v>
      </c>
      <c r="F25" s="41">
        <f>D25*3.9/50</f>
        <v>3.9</v>
      </c>
      <c r="G25" s="37">
        <f>C25*3.06/50</f>
        <v>3.06</v>
      </c>
      <c r="H25" s="41">
        <f>D25*3.06/50</f>
        <v>3.06</v>
      </c>
      <c r="I25" s="39">
        <f>C25*26.93/50</f>
        <v>26.93</v>
      </c>
      <c r="J25" s="41">
        <f>D25*26.93/50</f>
        <v>26.93</v>
      </c>
      <c r="K25" s="37">
        <f t="shared" si="5"/>
        <v>150.86000000000001</v>
      </c>
      <c r="L25" s="41">
        <f t="shared" si="5"/>
        <v>150.86000000000001</v>
      </c>
      <c r="M25" s="49">
        <v>0</v>
      </c>
      <c r="N25" s="44">
        <v>0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s="36" customFormat="1" x14ac:dyDescent="0.25">
      <c r="A26" s="17">
        <v>261</v>
      </c>
      <c r="B26" s="19" t="s">
        <v>87</v>
      </c>
      <c r="C26" s="39">
        <v>150</v>
      </c>
      <c r="D26" s="42">
        <v>180</v>
      </c>
      <c r="E26" s="39">
        <v>0.04</v>
      </c>
      <c r="F26" s="42">
        <v>0.06</v>
      </c>
      <c r="G26" s="39">
        <v>0.01</v>
      </c>
      <c r="H26" s="41">
        <v>0.02</v>
      </c>
      <c r="I26" s="37">
        <v>6.99</v>
      </c>
      <c r="J26" s="42">
        <v>9.99</v>
      </c>
      <c r="K26" s="37">
        <f t="shared" si="5"/>
        <v>28.21</v>
      </c>
      <c r="L26" s="41">
        <f t="shared" si="5"/>
        <v>40.380000000000003</v>
      </c>
      <c r="M26" s="37">
        <v>0.02</v>
      </c>
      <c r="N26" s="41">
        <v>0.03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s="65" customFormat="1" x14ac:dyDescent="0.25">
      <c r="A27" s="17">
        <v>248</v>
      </c>
      <c r="B27" s="19" t="s">
        <v>79</v>
      </c>
      <c r="C27" s="39">
        <v>100</v>
      </c>
      <c r="D27" s="42">
        <v>100</v>
      </c>
      <c r="E27" s="37">
        <v>0.4</v>
      </c>
      <c r="F27" s="41">
        <v>0.4</v>
      </c>
      <c r="G27" s="37">
        <v>0.4</v>
      </c>
      <c r="H27" s="41">
        <v>0.4</v>
      </c>
      <c r="I27" s="37">
        <v>9.8000000000000007</v>
      </c>
      <c r="J27" s="41">
        <v>9.8000000000000007</v>
      </c>
      <c r="K27" s="37">
        <f t="shared" si="5"/>
        <v>44.400000000000006</v>
      </c>
      <c r="L27" s="41">
        <f t="shared" si="5"/>
        <v>44.400000000000006</v>
      </c>
      <c r="M27" s="37">
        <v>10</v>
      </c>
      <c r="N27" s="41">
        <v>10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s="36" customFormat="1" x14ac:dyDescent="0.25">
      <c r="A28" s="17"/>
      <c r="B28" s="27" t="s">
        <v>80</v>
      </c>
      <c r="C28" s="130">
        <f t="shared" ref="C28:N28" si="7">SUM(C25:C27)</f>
        <v>300</v>
      </c>
      <c r="D28" s="33">
        <f t="shared" si="7"/>
        <v>330</v>
      </c>
      <c r="E28" s="130">
        <f t="shared" si="7"/>
        <v>4.34</v>
      </c>
      <c r="F28" s="33">
        <f t="shared" si="7"/>
        <v>4.3600000000000003</v>
      </c>
      <c r="G28" s="130">
        <f t="shared" si="7"/>
        <v>3.4699999999999998</v>
      </c>
      <c r="H28" s="33">
        <f t="shared" si="7"/>
        <v>3.48</v>
      </c>
      <c r="I28" s="130">
        <f t="shared" si="7"/>
        <v>43.72</v>
      </c>
      <c r="J28" s="33">
        <f t="shared" si="7"/>
        <v>46.72</v>
      </c>
      <c r="K28" s="130">
        <f t="shared" si="7"/>
        <v>223.47000000000003</v>
      </c>
      <c r="L28" s="40">
        <f t="shared" si="7"/>
        <v>235.64000000000001</v>
      </c>
      <c r="M28" s="130">
        <f t="shared" si="7"/>
        <v>10.02</v>
      </c>
      <c r="N28" s="33">
        <f t="shared" si="7"/>
        <v>10.029999999999999</v>
      </c>
      <c r="O28" s="66"/>
      <c r="P28" s="131"/>
      <c r="Q28" s="111"/>
      <c r="R28" s="111"/>
      <c r="S28" s="111"/>
      <c r="T28" s="111"/>
      <c r="U28" s="66"/>
      <c r="V28" s="67"/>
      <c r="W28" s="111"/>
      <c r="X28" s="111"/>
      <c r="Y28" s="111"/>
      <c r="Z28" s="111"/>
    </row>
    <row r="29" spans="1:26" s="36" customFormat="1" x14ac:dyDescent="0.25">
      <c r="A29" s="262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  <c r="P29" s="132"/>
      <c r="S29" s="64"/>
      <c r="V29" s="133"/>
    </row>
    <row r="30" spans="1:26" x14ac:dyDescent="0.25">
      <c r="A30" s="58"/>
      <c r="B30" s="59" t="s">
        <v>59</v>
      </c>
      <c r="C30" s="60"/>
      <c r="D30" s="60"/>
      <c r="E30" s="62">
        <f t="shared" ref="E30:N30" si="8">E10+E13+E23+E28</f>
        <v>38.713999999999999</v>
      </c>
      <c r="F30" s="63">
        <f t="shared" si="8"/>
        <v>48.444125</v>
      </c>
      <c r="G30" s="62">
        <f t="shared" si="8"/>
        <v>40.479999999999997</v>
      </c>
      <c r="H30" s="63">
        <f t="shared" si="8"/>
        <v>47.429249999999996</v>
      </c>
      <c r="I30" s="62">
        <f t="shared" si="8"/>
        <v>202.21700000000001</v>
      </c>
      <c r="J30" s="63">
        <f t="shared" si="8"/>
        <v>248.14750000000001</v>
      </c>
      <c r="K30" s="62">
        <f t="shared" si="8"/>
        <v>1328.0440000000001</v>
      </c>
      <c r="L30" s="63">
        <f t="shared" si="8"/>
        <v>1613.2297500000002</v>
      </c>
      <c r="M30" s="62">
        <f t="shared" si="8"/>
        <v>21.06</v>
      </c>
      <c r="N30" s="63">
        <f t="shared" si="8"/>
        <v>20.791125000000001</v>
      </c>
      <c r="P30" s="132"/>
      <c r="V30" s="67"/>
    </row>
    <row r="31" spans="1:26" x14ac:dyDescent="0.25">
      <c r="A31" s="17"/>
      <c r="B31" s="106" t="s">
        <v>174</v>
      </c>
      <c r="C31" s="105"/>
      <c r="D31" s="105"/>
      <c r="E31" s="108" t="s">
        <v>165</v>
      </c>
      <c r="F31" s="108" t="s">
        <v>166</v>
      </c>
      <c r="G31" s="108" t="s">
        <v>167</v>
      </c>
      <c r="H31" s="108" t="s">
        <v>168</v>
      </c>
      <c r="I31" s="108" t="s">
        <v>169</v>
      </c>
      <c r="J31" s="108" t="s">
        <v>170</v>
      </c>
      <c r="K31" s="108" t="s">
        <v>171</v>
      </c>
      <c r="L31" s="108" t="s">
        <v>172</v>
      </c>
      <c r="M31" s="108" t="s">
        <v>188</v>
      </c>
      <c r="N31" s="108" t="s">
        <v>189</v>
      </c>
      <c r="P31" s="126"/>
      <c r="V31" s="111"/>
    </row>
    <row r="32" spans="1:26" x14ac:dyDescent="0.25">
      <c r="A32" s="53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P32" s="126"/>
      <c r="V32" s="111"/>
    </row>
    <row r="33" spans="1:22" x14ac:dyDescent="0.25">
      <c r="A33" s="53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P33" s="126"/>
      <c r="V33" s="111"/>
    </row>
    <row r="34" spans="1:22" x14ac:dyDescent="0.25">
      <c r="A34" s="5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P34" s="127"/>
      <c r="V34" s="128"/>
    </row>
    <row r="35" spans="1:22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5"/>
      <c r="V35" s="5"/>
    </row>
    <row r="36" spans="1:22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V36" s="5"/>
    </row>
    <row r="37" spans="1:22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22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2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2" x14ac:dyDescent="0.25">
      <c r="A40" s="66"/>
      <c r="B40" s="66"/>
      <c r="C40" s="66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2" x14ac:dyDescent="0.25">
      <c r="A41" s="5"/>
      <c r="B41" s="5"/>
      <c r="C41" s="6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"/>
    </row>
    <row r="42" spans="1:22" x14ac:dyDescent="0.25">
      <c r="A42" s="5"/>
      <c r="B42" s="5"/>
      <c r="C42" s="67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"/>
    </row>
    <row r="43" spans="1:22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2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2" x14ac:dyDescent="0.25">
      <c r="A45" s="5"/>
      <c r="B45" s="5"/>
      <c r="C45" s="67"/>
      <c r="D45" s="5"/>
      <c r="I45" s="28"/>
      <c r="J45" s="28"/>
      <c r="K45" s="28"/>
      <c r="L45" s="28"/>
      <c r="M45" s="28"/>
      <c r="N45" s="28"/>
    </row>
    <row r="46" spans="1:22" x14ac:dyDescent="0.25">
      <c r="A46" s="5"/>
      <c r="B46" s="5"/>
      <c r="C46" s="67"/>
      <c r="D46" s="5"/>
    </row>
    <row r="47" spans="1:22" x14ac:dyDescent="0.25">
      <c r="A47" s="5"/>
      <c r="B47" s="5"/>
      <c r="C47" s="67"/>
      <c r="D47" s="5"/>
    </row>
    <row r="48" spans="1:22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5"/>
    </row>
    <row r="68" spans="1:4" x14ac:dyDescent="0.25">
      <c r="A68" s="5"/>
      <c r="B68" s="5"/>
      <c r="C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</sheetData>
  <mergeCells count="18">
    <mergeCell ref="A11:N11"/>
    <mergeCell ref="A14:N14"/>
    <mergeCell ref="M3:N4"/>
    <mergeCell ref="A24:N24"/>
    <mergeCell ref="A29:N29"/>
    <mergeCell ref="A6:N6"/>
    <mergeCell ref="A1:B1"/>
    <mergeCell ref="A2:B2"/>
    <mergeCell ref="C1:H1"/>
    <mergeCell ref="C2:H2"/>
    <mergeCell ref="K3:L4"/>
    <mergeCell ref="C3:D4"/>
    <mergeCell ref="E3:J3"/>
    <mergeCell ref="E4:F4"/>
    <mergeCell ref="G4:H4"/>
    <mergeCell ref="I4:J4"/>
    <mergeCell ref="A3:A5"/>
    <mergeCell ref="B3:B5"/>
  </mergeCells>
  <pageMargins left="0" right="0" top="0" bottom="0" header="0" footer="0"/>
  <pageSetup paperSize="9" orientation="landscape" horizontalDpi="4294967293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topLeftCell="A19" zoomScaleNormal="100" workbookViewId="0">
      <selection activeCell="N34" sqref="A1:N34"/>
    </sheetView>
  </sheetViews>
  <sheetFormatPr defaultRowHeight="15" x14ac:dyDescent="0.25"/>
  <cols>
    <col min="1" max="1" width="4.85546875" style="68" customWidth="1"/>
    <col min="2" max="2" width="37" style="68" customWidth="1"/>
    <col min="3" max="3" width="7.28515625" style="68" customWidth="1"/>
    <col min="4" max="4" width="6.5703125" style="68" customWidth="1"/>
    <col min="5" max="5" width="6.7109375" style="68" customWidth="1"/>
    <col min="6" max="6" width="6.85546875" style="68" customWidth="1"/>
    <col min="7" max="7" width="6.42578125" style="68" customWidth="1"/>
    <col min="8" max="8" width="6.5703125" style="68" customWidth="1"/>
    <col min="9" max="9" width="7.28515625" style="68" customWidth="1"/>
    <col min="10" max="10" width="7.5703125" style="68" customWidth="1"/>
    <col min="11" max="12" width="9.42578125" style="68" customWidth="1"/>
    <col min="13" max="13" width="6.5703125" style="68" customWidth="1"/>
    <col min="14" max="14" width="7.28515625" style="68" customWidth="1"/>
    <col min="15" max="15" width="20.7109375" style="68" customWidth="1"/>
    <col min="16" max="16" width="7.28515625" style="68" customWidth="1"/>
    <col min="17" max="20" width="9.140625" style="68"/>
    <col min="21" max="21" width="19.7109375" style="68" customWidth="1"/>
    <col min="22" max="22" width="7.7109375" style="68" customWidth="1"/>
    <col min="23" max="23" width="9.140625" style="68"/>
    <col min="24" max="24" width="7.7109375" style="68" customWidth="1"/>
    <col min="25" max="16384" width="9.140625" style="68"/>
  </cols>
  <sheetData>
    <row r="1" spans="1:26" ht="15.75" x14ac:dyDescent="0.25">
      <c r="A1" s="243" t="s">
        <v>46</v>
      </c>
      <c r="B1" s="243"/>
      <c r="C1" s="243" t="s">
        <v>160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84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106</v>
      </c>
      <c r="B7" s="18" t="s">
        <v>85</v>
      </c>
      <c r="C7" s="39">
        <v>160</v>
      </c>
      <c r="D7" s="45">
        <v>180</v>
      </c>
      <c r="E7" s="37">
        <f>C7*1.55/100</f>
        <v>2.48</v>
      </c>
      <c r="F7" s="41">
        <f>D7*1.55/100</f>
        <v>2.79</v>
      </c>
      <c r="G7" s="37">
        <f>C7*2.64/100</f>
        <v>4.2240000000000002</v>
      </c>
      <c r="H7" s="41">
        <f>D7*2.64/100</f>
        <v>4.7520000000000007</v>
      </c>
      <c r="I7" s="39">
        <f>C7*16.1/100</f>
        <v>25.76</v>
      </c>
      <c r="J7" s="42">
        <f>D7*16.1/100</f>
        <v>28.980000000000004</v>
      </c>
      <c r="K7" s="39">
        <f t="shared" ref="K7:L11" si="0">E7*4+G7*9+I7*4</f>
        <v>150.976</v>
      </c>
      <c r="L7" s="42">
        <f t="shared" si="0"/>
        <v>169.84800000000001</v>
      </c>
      <c r="M7" s="43">
        <v>0</v>
      </c>
      <c r="N7" s="44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6</v>
      </c>
      <c r="B9" s="18" t="s">
        <v>86</v>
      </c>
      <c r="C9" s="39">
        <v>10</v>
      </c>
      <c r="D9" s="47">
        <v>10</v>
      </c>
      <c r="E9" s="39">
        <v>2.63</v>
      </c>
      <c r="F9" s="42">
        <v>2.63</v>
      </c>
      <c r="G9" s="37">
        <v>2.66</v>
      </c>
      <c r="H9" s="42">
        <v>2.66</v>
      </c>
      <c r="I9" s="49">
        <v>0</v>
      </c>
      <c r="J9" s="44">
        <v>0</v>
      </c>
      <c r="K9" s="39">
        <f t="shared" si="0"/>
        <v>34.46</v>
      </c>
      <c r="L9" s="42">
        <f t="shared" si="0"/>
        <v>34.46</v>
      </c>
      <c r="M9" s="69">
        <v>7.0000000000000007E-2</v>
      </c>
      <c r="N9" s="41">
        <v>7.0000000000000007E-2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266</v>
      </c>
      <c r="B10" s="19" t="s">
        <v>33</v>
      </c>
      <c r="C10" s="39">
        <v>150</v>
      </c>
      <c r="D10" s="45">
        <v>180</v>
      </c>
      <c r="E10" s="37">
        <v>3.15</v>
      </c>
      <c r="F10" s="41">
        <v>3.67</v>
      </c>
      <c r="G10" s="37">
        <v>2.72</v>
      </c>
      <c r="H10" s="41">
        <v>3.19</v>
      </c>
      <c r="I10" s="39">
        <v>12.96</v>
      </c>
      <c r="J10" s="41">
        <v>15.82</v>
      </c>
      <c r="K10" s="39">
        <f t="shared" si="0"/>
        <v>88.92</v>
      </c>
      <c r="L10" s="42">
        <f t="shared" si="0"/>
        <v>106.67</v>
      </c>
      <c r="M10" s="69">
        <v>1.2</v>
      </c>
      <c r="N10" s="41">
        <v>1.43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15">
        <f>SUM(C7:C10)</f>
        <v>350</v>
      </c>
      <c r="D11" s="48">
        <f>SUM(D7:D10)</f>
        <v>410</v>
      </c>
      <c r="E11" s="31">
        <f t="shared" ref="E11:N11" si="1">SUM(E7:E10)</f>
        <v>10.51</v>
      </c>
      <c r="F11" s="40">
        <f t="shared" si="1"/>
        <v>12.09</v>
      </c>
      <c r="G11" s="31">
        <f t="shared" si="1"/>
        <v>10.474</v>
      </c>
      <c r="H11" s="40">
        <f t="shared" si="1"/>
        <v>11.762</v>
      </c>
      <c r="I11" s="31">
        <f t="shared" si="1"/>
        <v>54.14</v>
      </c>
      <c r="J11" s="33">
        <f t="shared" si="1"/>
        <v>65.360000000000014</v>
      </c>
      <c r="K11" s="31">
        <f t="shared" si="0"/>
        <v>352.86599999999999</v>
      </c>
      <c r="L11" s="40">
        <f t="shared" si="0"/>
        <v>415.65800000000007</v>
      </c>
      <c r="M11" s="31">
        <f t="shared" si="1"/>
        <v>1.27</v>
      </c>
      <c r="N11" s="40">
        <f t="shared" si="1"/>
        <v>1.5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270</v>
      </c>
      <c r="B13" s="19" t="s">
        <v>88</v>
      </c>
      <c r="C13" s="39">
        <v>150</v>
      </c>
      <c r="D13" s="51">
        <v>180</v>
      </c>
      <c r="E13" s="37">
        <v>4.3499999999999996</v>
      </c>
      <c r="F13" s="41">
        <v>5.22</v>
      </c>
      <c r="G13" s="37">
        <v>3.75</v>
      </c>
      <c r="H13" s="41">
        <v>4.5</v>
      </c>
      <c r="I13" s="37">
        <v>6.3</v>
      </c>
      <c r="J13" s="42">
        <v>7.56</v>
      </c>
      <c r="K13" s="39">
        <f t="shared" ref="K13:L14" si="2">E13*4+G13*9+I13*4</f>
        <v>76.349999999999994</v>
      </c>
      <c r="L13" s="42">
        <f t="shared" si="2"/>
        <v>91.61999999999999</v>
      </c>
      <c r="M13" s="37">
        <v>0.45</v>
      </c>
      <c r="N13" s="42">
        <v>0.54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15">
        <f>SUM(C13)</f>
        <v>150</v>
      </c>
      <c r="D14" s="57">
        <f>SUM(D13)</f>
        <v>180</v>
      </c>
      <c r="E14" s="31">
        <f t="shared" ref="E14:H14" si="3">SUM(E13)</f>
        <v>4.3499999999999996</v>
      </c>
      <c r="F14" s="40">
        <f t="shared" si="3"/>
        <v>5.22</v>
      </c>
      <c r="G14" s="31">
        <f t="shared" si="3"/>
        <v>3.75</v>
      </c>
      <c r="H14" s="40">
        <f t="shared" si="3"/>
        <v>4.5</v>
      </c>
      <c r="I14" s="31">
        <f>SUM(I13)</f>
        <v>6.3</v>
      </c>
      <c r="J14" s="33">
        <f t="shared" ref="J14:N14" si="4">SUM(J13)</f>
        <v>7.56</v>
      </c>
      <c r="K14" s="115">
        <f t="shared" si="2"/>
        <v>76.349999999999994</v>
      </c>
      <c r="L14" s="33">
        <f t="shared" si="2"/>
        <v>91.61999999999999</v>
      </c>
      <c r="M14" s="31">
        <f t="shared" si="4"/>
        <v>0.45</v>
      </c>
      <c r="N14" s="33">
        <f t="shared" si="4"/>
        <v>0.54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28</v>
      </c>
      <c r="B16" s="19" t="s">
        <v>207</v>
      </c>
      <c r="C16" s="39">
        <v>40</v>
      </c>
      <c r="D16" s="51">
        <v>60</v>
      </c>
      <c r="E16" s="37">
        <v>0.3</v>
      </c>
      <c r="F16" s="41">
        <v>0.42</v>
      </c>
      <c r="G16" s="37">
        <v>2.4</v>
      </c>
      <c r="H16" s="41">
        <v>3.6</v>
      </c>
      <c r="I16" s="37">
        <v>0.94</v>
      </c>
      <c r="J16" s="42">
        <v>1.4</v>
      </c>
      <c r="K16" s="37">
        <v>27</v>
      </c>
      <c r="L16" s="41">
        <v>41</v>
      </c>
      <c r="M16" s="37">
        <v>1.9</v>
      </c>
      <c r="N16" s="41">
        <v>2.8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17">
        <v>56</v>
      </c>
      <c r="B17" s="19" t="s">
        <v>89</v>
      </c>
      <c r="C17" s="39">
        <v>150</v>
      </c>
      <c r="D17" s="51">
        <v>200</v>
      </c>
      <c r="E17" s="37">
        <f>C17*0.7/100</f>
        <v>1.05</v>
      </c>
      <c r="F17" s="41">
        <f>D17*0.7/100</f>
        <v>1.4</v>
      </c>
      <c r="G17" s="37">
        <f>C17*1.95/100</f>
        <v>2.9249999999999998</v>
      </c>
      <c r="H17" s="42">
        <f>D17*1.95/100</f>
        <v>3.9</v>
      </c>
      <c r="I17" s="37">
        <f>C17*3.39/100</f>
        <v>5.085</v>
      </c>
      <c r="J17" s="42">
        <f>D17*3.39/100</f>
        <v>6.78</v>
      </c>
      <c r="K17" s="37">
        <f t="shared" ref="K17:L22" si="5">E17*4+G17*9+I17*4</f>
        <v>50.864999999999995</v>
      </c>
      <c r="L17" s="41">
        <f t="shared" si="5"/>
        <v>67.820000000000007</v>
      </c>
      <c r="M17" s="39">
        <f>C17*7.39/100</f>
        <v>11.085000000000001</v>
      </c>
      <c r="N17" s="42">
        <f>D17*7.39/100</f>
        <v>14.78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54"/>
      <c r="B18" s="55" t="s">
        <v>157</v>
      </c>
      <c r="C18" s="39">
        <v>20</v>
      </c>
      <c r="D18" s="42">
        <v>24</v>
      </c>
      <c r="E18" s="39">
        <f>C18*13.56/60</f>
        <v>4.5199999999999996</v>
      </c>
      <c r="F18" s="41">
        <f>D18*13.56/60</f>
        <v>5.4240000000000004</v>
      </c>
      <c r="G18" s="37">
        <f>C18*10.2/60</f>
        <v>3.4</v>
      </c>
      <c r="H18" s="41">
        <f>D18*10.2/60</f>
        <v>4.08</v>
      </c>
      <c r="I18" s="49">
        <v>0</v>
      </c>
      <c r="J18" s="44">
        <v>0</v>
      </c>
      <c r="K18" s="37">
        <f t="shared" si="5"/>
        <v>48.679999999999993</v>
      </c>
      <c r="L18" s="41">
        <f t="shared" si="5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/>
      <c r="B19" s="19" t="s">
        <v>56</v>
      </c>
      <c r="C19" s="39">
        <v>10</v>
      </c>
      <c r="D19" s="42">
        <v>10</v>
      </c>
      <c r="E19" s="39">
        <f>C19*2.6/100</f>
        <v>0.26</v>
      </c>
      <c r="F19" s="42">
        <f>D19*2.6/100</f>
        <v>0.26</v>
      </c>
      <c r="G19" s="37">
        <f>C19*15/100</f>
        <v>1.5</v>
      </c>
      <c r="H19" s="41">
        <f>D19*15/100</f>
        <v>1.5</v>
      </c>
      <c r="I19" s="39">
        <f>C19*3.6/100</f>
        <v>0.36</v>
      </c>
      <c r="J19" s="42">
        <f>D19*3.6/100</f>
        <v>0.36</v>
      </c>
      <c r="K19" s="37">
        <f t="shared" si="5"/>
        <v>15.979999999999999</v>
      </c>
      <c r="L19" s="41">
        <f t="shared" si="5"/>
        <v>15.979999999999999</v>
      </c>
      <c r="M19" s="39">
        <f>C19*0.4/100</f>
        <v>0.04</v>
      </c>
      <c r="N19" s="42">
        <f>D19*0.4/100</f>
        <v>0.04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216</v>
      </c>
      <c r="B20" s="19" t="s">
        <v>90</v>
      </c>
      <c r="C20" s="39">
        <v>150</v>
      </c>
      <c r="D20" s="42">
        <v>180</v>
      </c>
      <c r="E20" s="39">
        <f>C20*2.04/100</f>
        <v>3.06</v>
      </c>
      <c r="F20" s="41">
        <f>D20*2.04/100</f>
        <v>3.6719999999999997</v>
      </c>
      <c r="G20" s="37">
        <f>C20*3.2/100</f>
        <v>4.8</v>
      </c>
      <c r="H20" s="42">
        <f>D20*3.2/100</f>
        <v>5.76</v>
      </c>
      <c r="I20" s="39">
        <f>C20*13.63/100</f>
        <v>20.445000000000004</v>
      </c>
      <c r="J20" s="41">
        <f>D20*13.63/100</f>
        <v>24.534000000000002</v>
      </c>
      <c r="K20" s="37">
        <f t="shared" si="5"/>
        <v>137.22000000000003</v>
      </c>
      <c r="L20" s="41">
        <f t="shared" si="5"/>
        <v>164.66399999999999</v>
      </c>
      <c r="M20" s="39">
        <f>C20*12.11/100</f>
        <v>18.164999999999999</v>
      </c>
      <c r="N20" s="41">
        <f>D20*12.11/100</f>
        <v>21.797999999999998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163</v>
      </c>
      <c r="B21" s="19" t="s">
        <v>91</v>
      </c>
      <c r="C21" s="39">
        <v>70</v>
      </c>
      <c r="D21" s="42">
        <v>80</v>
      </c>
      <c r="E21" s="37">
        <v>6.83</v>
      </c>
      <c r="F21" s="41">
        <v>7.8</v>
      </c>
      <c r="G21" s="37">
        <v>3.81</v>
      </c>
      <c r="H21" s="42">
        <v>4.3499999999999996</v>
      </c>
      <c r="I21" s="37">
        <v>24.8</v>
      </c>
      <c r="J21" s="41">
        <v>28.3</v>
      </c>
      <c r="K21" s="37">
        <f t="shared" si="5"/>
        <v>160.81</v>
      </c>
      <c r="L21" s="41">
        <f t="shared" si="5"/>
        <v>183.55</v>
      </c>
      <c r="M21" s="39">
        <v>0.37</v>
      </c>
      <c r="N21" s="41">
        <v>0.42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>
        <v>235</v>
      </c>
      <c r="B22" s="19" t="s">
        <v>136</v>
      </c>
      <c r="C22" s="39">
        <v>30</v>
      </c>
      <c r="D22" s="42">
        <v>30</v>
      </c>
      <c r="E22" s="37">
        <f>C22*1.16/100</f>
        <v>0.34799999999999998</v>
      </c>
      <c r="F22" s="41">
        <f>D22*1.16/100</f>
        <v>0.34799999999999998</v>
      </c>
      <c r="G22" s="39">
        <f>C22*4.2/100</f>
        <v>1.26</v>
      </c>
      <c r="H22" s="42">
        <f>D22*4.2/100</f>
        <v>1.26</v>
      </c>
      <c r="I22" s="107">
        <f>C22*8.02/100</f>
        <v>2.4060000000000001</v>
      </c>
      <c r="J22" s="42">
        <f>D22*8.02/100</f>
        <v>2.4060000000000001</v>
      </c>
      <c r="K22" s="37">
        <f t="shared" si="5"/>
        <v>22.356000000000002</v>
      </c>
      <c r="L22" s="41">
        <f t="shared" si="5"/>
        <v>22.356000000000002</v>
      </c>
      <c r="M22" s="37">
        <f>C22*2.38/100</f>
        <v>0.71399999999999997</v>
      </c>
      <c r="N22" s="41">
        <f>D22*2.38/100</f>
        <v>0.71399999999999997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17">
        <v>253</v>
      </c>
      <c r="B23" s="19" t="s">
        <v>92</v>
      </c>
      <c r="C23" s="39">
        <v>150</v>
      </c>
      <c r="D23" s="42">
        <v>180</v>
      </c>
      <c r="E23" s="37">
        <f>C23*0.22/100</f>
        <v>0.33</v>
      </c>
      <c r="F23" s="41">
        <f>D23*0.22/100</f>
        <v>0.39600000000000002</v>
      </c>
      <c r="G23" s="39">
        <f>C23*0.01/100</f>
        <v>1.4999999999999999E-2</v>
      </c>
      <c r="H23" s="42">
        <f>D23*0.01/100</f>
        <v>1.8000000000000002E-2</v>
      </c>
      <c r="I23" s="37">
        <f>C23*13.88/100</f>
        <v>20.82</v>
      </c>
      <c r="J23" s="41">
        <f>D23*13.88/100</f>
        <v>24.984000000000002</v>
      </c>
      <c r="K23" s="37">
        <f t="shared" ref="K23:K24" si="6">E23*4+G23*9+I23*4</f>
        <v>84.734999999999999</v>
      </c>
      <c r="L23" s="41">
        <f t="shared" ref="L23:L24" si="7">F23*4+H23*9+J23*4</f>
        <v>101.682</v>
      </c>
      <c r="M23" s="39">
        <f>C23*0.2/100</f>
        <v>0.3</v>
      </c>
      <c r="N23" s="42">
        <f>D23*0.2/100</f>
        <v>0.36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17"/>
      <c r="B24" s="19" t="s">
        <v>58</v>
      </c>
      <c r="C24" s="39">
        <v>40</v>
      </c>
      <c r="D24" s="42">
        <v>50</v>
      </c>
      <c r="E24" s="37">
        <f>C24*7.92/100</f>
        <v>3.1680000000000001</v>
      </c>
      <c r="F24" s="42">
        <f>D24*7.92/100</f>
        <v>3.96</v>
      </c>
      <c r="G24" s="37">
        <f>C24*1.32/100</f>
        <v>0.52800000000000002</v>
      </c>
      <c r="H24" s="42">
        <f>D24*1.32/100</f>
        <v>0.66</v>
      </c>
      <c r="I24" s="39">
        <f>C24*52.68/100</f>
        <v>21.071999999999999</v>
      </c>
      <c r="J24" s="42">
        <f>D24*52.68/100</f>
        <v>26.34</v>
      </c>
      <c r="K24" s="37">
        <f t="shared" si="6"/>
        <v>101.71199999999999</v>
      </c>
      <c r="L24" s="41">
        <f t="shared" si="7"/>
        <v>127.14</v>
      </c>
      <c r="M24" s="49">
        <v>0</v>
      </c>
      <c r="N24" s="44">
        <v>0</v>
      </c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26"/>
      <c r="B25" s="27" t="s">
        <v>83</v>
      </c>
      <c r="C25" s="115">
        <f>SUM(C16:C24)</f>
        <v>660</v>
      </c>
      <c r="D25" s="57">
        <f>SUM(D16:D24)</f>
        <v>814</v>
      </c>
      <c r="E25" s="31">
        <f>SUM(E16:E24)</f>
        <v>19.865999999999996</v>
      </c>
      <c r="F25" s="40">
        <f>SUM(F16:F24)</f>
        <v>23.68</v>
      </c>
      <c r="G25" s="31">
        <f>SUM(G16:G24)</f>
        <v>20.637999999999998</v>
      </c>
      <c r="H25" s="40">
        <f t="shared" ref="H25:M25" si="8">SUM(H16:H24)</f>
        <v>25.128</v>
      </c>
      <c r="I25" s="31">
        <f t="shared" si="8"/>
        <v>95.928000000000011</v>
      </c>
      <c r="J25" s="40">
        <f t="shared" si="8"/>
        <v>115.104</v>
      </c>
      <c r="K25" s="31">
        <f t="shared" si="8"/>
        <v>649.35799999999995</v>
      </c>
      <c r="L25" s="40">
        <f t="shared" si="8"/>
        <v>782.60800000000006</v>
      </c>
      <c r="M25" s="31">
        <f t="shared" si="8"/>
        <v>32.573999999999998</v>
      </c>
      <c r="N25" s="40">
        <f>SUM(N16:N24)</f>
        <v>40.911999999999992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262" t="s">
        <v>60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>
        <v>149</v>
      </c>
      <c r="B27" s="19" t="s">
        <v>93</v>
      </c>
      <c r="C27" s="39">
        <v>70</v>
      </c>
      <c r="D27" s="42">
        <v>80</v>
      </c>
      <c r="E27" s="37">
        <f>C27*17.76/100</f>
        <v>12.432</v>
      </c>
      <c r="F27" s="41">
        <f>D27*17.76/100</f>
        <v>14.208000000000002</v>
      </c>
      <c r="G27" s="37">
        <f>C27*12.1/100</f>
        <v>8.4700000000000006</v>
      </c>
      <c r="H27" s="41">
        <f>D27*12.1/100</f>
        <v>9.68</v>
      </c>
      <c r="I27" s="39">
        <f>C27*18.37/100</f>
        <v>12.859000000000002</v>
      </c>
      <c r="J27" s="41">
        <f>D27*18.37/100</f>
        <v>14.696000000000002</v>
      </c>
      <c r="K27" s="37">
        <f t="shared" ref="K27:K30" si="9">E27*4+G27*9+I27*4</f>
        <v>177.39400000000001</v>
      </c>
      <c r="L27" s="41">
        <f t="shared" ref="L27:L30" si="10">F27*4+H27*9+J27*4</f>
        <v>202.73599999999999</v>
      </c>
      <c r="M27" s="37">
        <f>C27*0.24/100</f>
        <v>0.16800000000000001</v>
      </c>
      <c r="N27" s="42">
        <f>D27*0.24/100</f>
        <v>0.192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>
        <v>238</v>
      </c>
      <c r="B28" s="19" t="s">
        <v>137</v>
      </c>
      <c r="C28" s="39">
        <v>30</v>
      </c>
      <c r="D28" s="42">
        <v>30</v>
      </c>
      <c r="E28" s="37">
        <f>C28*1.94/100</f>
        <v>0.58199999999999996</v>
      </c>
      <c r="F28" s="41">
        <f>D28*1.94/100</f>
        <v>0.58199999999999996</v>
      </c>
      <c r="G28" s="37">
        <f>C28*4.52/100</f>
        <v>1.3559999999999999</v>
      </c>
      <c r="H28" s="41">
        <f>D28*4.52/100</f>
        <v>1.3559999999999999</v>
      </c>
      <c r="I28" s="37">
        <f>C28*13.26/100</f>
        <v>3.9780000000000002</v>
      </c>
      <c r="J28" s="41">
        <f>D28*13.26/100</f>
        <v>3.9780000000000002</v>
      </c>
      <c r="K28" s="37">
        <f t="shared" si="9"/>
        <v>30.443999999999999</v>
      </c>
      <c r="L28" s="41">
        <f t="shared" si="10"/>
        <v>30.443999999999999</v>
      </c>
      <c r="M28" s="37">
        <f>C28*0.33/100</f>
        <v>9.9000000000000005E-2</v>
      </c>
      <c r="N28" s="41">
        <f>D28*0.33/100</f>
        <v>9.9000000000000005E-2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17">
        <v>267</v>
      </c>
      <c r="B29" s="19" t="s">
        <v>101</v>
      </c>
      <c r="C29" s="39">
        <v>150</v>
      </c>
      <c r="D29" s="42">
        <v>180</v>
      </c>
      <c r="E29" s="39">
        <v>0.51</v>
      </c>
      <c r="F29" s="42">
        <v>0.61</v>
      </c>
      <c r="G29" s="39">
        <v>0.21</v>
      </c>
      <c r="H29" s="41">
        <v>0.25</v>
      </c>
      <c r="I29" s="37">
        <v>14.23</v>
      </c>
      <c r="J29" s="42">
        <v>18.670000000000002</v>
      </c>
      <c r="K29" s="37">
        <f t="shared" si="9"/>
        <v>60.85</v>
      </c>
      <c r="L29" s="41">
        <f t="shared" si="10"/>
        <v>79.37</v>
      </c>
      <c r="M29" s="49">
        <v>75</v>
      </c>
      <c r="N29" s="44">
        <v>90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6" x14ac:dyDescent="0.25">
      <c r="A30" s="17">
        <v>248</v>
      </c>
      <c r="B30" s="19" t="s">
        <v>102</v>
      </c>
      <c r="C30" s="39">
        <v>100</v>
      </c>
      <c r="D30" s="42">
        <v>100</v>
      </c>
      <c r="E30" s="37">
        <v>1.5</v>
      </c>
      <c r="F30" s="41">
        <v>1.5</v>
      </c>
      <c r="G30" s="37">
        <v>0.5</v>
      </c>
      <c r="H30" s="41">
        <v>0.5</v>
      </c>
      <c r="I30" s="49">
        <v>21</v>
      </c>
      <c r="J30" s="44">
        <v>21</v>
      </c>
      <c r="K30" s="37">
        <f t="shared" si="9"/>
        <v>94.5</v>
      </c>
      <c r="L30" s="41">
        <f t="shared" si="10"/>
        <v>94.5</v>
      </c>
      <c r="M30" s="49">
        <v>10</v>
      </c>
      <c r="N30" s="44">
        <v>10</v>
      </c>
      <c r="P30" s="5"/>
      <c r="Q30" s="111"/>
      <c r="R30" s="111"/>
      <c r="S30" s="111"/>
      <c r="T30" s="111"/>
      <c r="U30" s="5"/>
      <c r="V30" s="5"/>
      <c r="W30" s="111"/>
      <c r="X30" s="111"/>
      <c r="Y30" s="111"/>
      <c r="Z30" s="111"/>
    </row>
    <row r="31" spans="1:26" x14ac:dyDescent="0.25">
      <c r="A31" s="17"/>
      <c r="B31" s="27" t="s">
        <v>80</v>
      </c>
      <c r="C31" s="103">
        <f>SUM(C27:C30)</f>
        <v>350</v>
      </c>
      <c r="D31" s="33">
        <f>SUM(D27:D30)</f>
        <v>390</v>
      </c>
      <c r="E31" s="31">
        <f t="shared" ref="E31:N31" si="11">SUM(E27:E30)</f>
        <v>15.024000000000001</v>
      </c>
      <c r="F31" s="33">
        <f t="shared" si="11"/>
        <v>16.900000000000002</v>
      </c>
      <c r="G31" s="103">
        <f t="shared" si="11"/>
        <v>10.536000000000001</v>
      </c>
      <c r="H31" s="33">
        <f t="shared" si="11"/>
        <v>11.786</v>
      </c>
      <c r="I31" s="103">
        <f t="shared" si="11"/>
        <v>52.067000000000007</v>
      </c>
      <c r="J31" s="40">
        <f t="shared" si="11"/>
        <v>58.344000000000008</v>
      </c>
      <c r="K31" s="103">
        <f t="shared" si="11"/>
        <v>363.18799999999999</v>
      </c>
      <c r="L31" s="33">
        <f t="shared" si="11"/>
        <v>407.04999999999995</v>
      </c>
      <c r="M31" s="31">
        <f t="shared" si="11"/>
        <v>85.266999999999996</v>
      </c>
      <c r="N31" s="40">
        <f t="shared" si="11"/>
        <v>100.291</v>
      </c>
      <c r="P31" s="132"/>
      <c r="Q31" s="5"/>
      <c r="R31" s="5"/>
      <c r="S31" s="5"/>
      <c r="T31" s="5"/>
      <c r="U31" s="5"/>
      <c r="V31" s="133"/>
      <c r="W31" s="5"/>
      <c r="X31" s="5"/>
      <c r="Y31" s="5"/>
      <c r="Z31" s="5"/>
    </row>
    <row r="32" spans="1:26" x14ac:dyDescent="0.25">
      <c r="A32" s="262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  <c r="P32" s="132"/>
      <c r="Q32" s="5"/>
      <c r="R32" s="5"/>
      <c r="S32" s="5"/>
      <c r="T32" s="5"/>
      <c r="U32" s="5"/>
      <c r="V32" s="67"/>
      <c r="W32" s="5"/>
      <c r="X32" s="5"/>
      <c r="Y32" s="5"/>
      <c r="Z32" s="5"/>
    </row>
    <row r="33" spans="1:26" x14ac:dyDescent="0.25">
      <c r="A33" s="17"/>
      <c r="B33" s="106" t="s">
        <v>59</v>
      </c>
      <c r="C33" s="105"/>
      <c r="D33" s="105"/>
      <c r="E33" s="31">
        <f>E11+E14+E25+E31</f>
        <v>49.75</v>
      </c>
      <c r="F33" s="40">
        <f t="shared" ref="F33:N33" si="12">F11+F14+F25+F31</f>
        <v>57.89</v>
      </c>
      <c r="G33" s="31">
        <f t="shared" si="12"/>
        <v>45.397999999999996</v>
      </c>
      <c r="H33" s="40">
        <f t="shared" si="12"/>
        <v>53.176000000000002</v>
      </c>
      <c r="I33" s="31">
        <f t="shared" si="12"/>
        <v>208.435</v>
      </c>
      <c r="J33" s="40">
        <f t="shared" si="12"/>
        <v>246.36799999999999</v>
      </c>
      <c r="K33" s="31">
        <f t="shared" si="12"/>
        <v>1441.7620000000002</v>
      </c>
      <c r="L33" s="40">
        <f t="shared" si="12"/>
        <v>1696.9360000000001</v>
      </c>
      <c r="M33" s="31">
        <f t="shared" si="12"/>
        <v>119.56099999999999</v>
      </c>
      <c r="N33" s="40">
        <f t="shared" si="12"/>
        <v>143.24299999999999</v>
      </c>
      <c r="P33" s="126"/>
      <c r="Q33" s="5"/>
      <c r="R33" s="5"/>
      <c r="S33" s="5"/>
      <c r="T33" s="5"/>
      <c r="U33" s="5"/>
      <c r="V33" s="111"/>
      <c r="W33" s="5"/>
      <c r="X33" s="5"/>
      <c r="Y33" s="5"/>
      <c r="Z33" s="5"/>
    </row>
    <row r="34" spans="1:26" x14ac:dyDescent="0.25">
      <c r="A34" s="17"/>
      <c r="B34" s="106" t="s">
        <v>174</v>
      </c>
      <c r="C34" s="105"/>
      <c r="D34" s="105"/>
      <c r="E34" s="108" t="s">
        <v>165</v>
      </c>
      <c r="F34" s="108" t="s">
        <v>166</v>
      </c>
      <c r="G34" s="108" t="s">
        <v>167</v>
      </c>
      <c r="H34" s="108" t="s">
        <v>168</v>
      </c>
      <c r="I34" s="108" t="s">
        <v>169</v>
      </c>
      <c r="J34" s="108" t="s">
        <v>170</v>
      </c>
      <c r="K34" s="108" t="s">
        <v>171</v>
      </c>
      <c r="L34" s="108" t="s">
        <v>172</v>
      </c>
      <c r="M34" s="108" t="s">
        <v>188</v>
      </c>
      <c r="N34" s="108" t="s">
        <v>189</v>
      </c>
      <c r="P34" s="126"/>
      <c r="Q34" s="5"/>
      <c r="R34" s="5"/>
      <c r="S34" s="5"/>
      <c r="T34" s="5"/>
      <c r="U34" s="5"/>
      <c r="V34" s="111"/>
      <c r="W34" s="5"/>
      <c r="X34" s="5"/>
      <c r="Y34" s="5"/>
      <c r="Z34" s="5"/>
    </row>
    <row r="35" spans="1:26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6"/>
      <c r="Q35" s="5"/>
      <c r="R35" s="5"/>
      <c r="S35" s="5"/>
      <c r="T35" s="5"/>
      <c r="U35" s="5"/>
      <c r="V35" s="111"/>
      <c r="W35" s="5"/>
      <c r="X35" s="5"/>
      <c r="Y35" s="5"/>
      <c r="Z35" s="5"/>
    </row>
    <row r="36" spans="1:26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127"/>
      <c r="Q36" s="5"/>
      <c r="R36" s="5"/>
      <c r="S36" s="5"/>
      <c r="T36" s="5"/>
      <c r="U36" s="5"/>
      <c r="V36" s="128"/>
      <c r="W36" s="5"/>
      <c r="X36" s="5"/>
      <c r="Y36" s="5"/>
      <c r="Z36" s="5"/>
    </row>
    <row r="37" spans="1:26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3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6" x14ac:dyDescent="0.25">
      <c r="A42" s="66"/>
      <c r="B42" s="66"/>
      <c r="C42" s="6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26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6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6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6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26" x14ac:dyDescent="0.25">
      <c r="A47" s="5"/>
      <c r="B47" s="5"/>
      <c r="C47" s="67"/>
      <c r="D47" s="5"/>
      <c r="I47" s="28"/>
      <c r="J47" s="28"/>
      <c r="K47" s="28"/>
      <c r="L47" s="28"/>
      <c r="M47" s="28"/>
      <c r="N47" s="28"/>
    </row>
    <row r="48" spans="1:26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B73" s="5"/>
      <c r="C73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A32:N32"/>
    <mergeCell ref="A26:N26"/>
    <mergeCell ref="A12:N12"/>
    <mergeCell ref="A15:N15"/>
    <mergeCell ref="K3:L4"/>
    <mergeCell ref="M3:N4"/>
    <mergeCell ref="E4:F4"/>
    <mergeCell ref="G4:H4"/>
    <mergeCell ref="I4:J4"/>
    <mergeCell ref="A6:N6"/>
  </mergeCells>
  <pageMargins left="0" right="0" top="0" bottom="0" header="0" footer="0"/>
  <pageSetup paperSize="9" orientation="landscape" horizontalDpi="4294967293" verticalDpi="180" r:id="rId1"/>
  <ignoredErrors>
    <ignoredError sqref="I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17" sqref="N17"/>
    </sheetView>
  </sheetViews>
  <sheetFormatPr defaultRowHeight="15" x14ac:dyDescent="0.25"/>
  <cols>
    <col min="1" max="1" width="4.85546875" style="102" customWidth="1"/>
    <col min="2" max="2" width="37" style="102" customWidth="1"/>
    <col min="3" max="3" width="7.28515625" style="102" customWidth="1"/>
    <col min="4" max="4" width="6.5703125" style="102" customWidth="1"/>
    <col min="5" max="5" width="6.7109375" style="102" customWidth="1"/>
    <col min="6" max="6" width="6.85546875" style="102" customWidth="1"/>
    <col min="7" max="7" width="6.42578125" style="102" customWidth="1"/>
    <col min="8" max="8" width="6.5703125" style="102" customWidth="1"/>
    <col min="9" max="10" width="8" style="102" customWidth="1"/>
    <col min="11" max="11" width="9.85546875" style="102" customWidth="1"/>
    <col min="12" max="12" width="10" style="102" customWidth="1"/>
    <col min="13" max="13" width="6.5703125" style="102" customWidth="1"/>
    <col min="14" max="14" width="7.28515625" style="102" customWidth="1"/>
    <col min="15" max="15" width="20.7109375" style="102" customWidth="1"/>
    <col min="16" max="16" width="7.28515625" style="102" customWidth="1"/>
    <col min="17" max="20" width="9.140625" style="102"/>
    <col min="21" max="21" width="19.7109375" style="102" customWidth="1"/>
    <col min="22" max="22" width="7.7109375" style="102" customWidth="1"/>
    <col min="23" max="23" width="9.140625" style="102"/>
    <col min="24" max="24" width="7.7109375" style="102" customWidth="1"/>
    <col min="25" max="16384" width="9.140625" style="102"/>
  </cols>
  <sheetData>
    <row r="1" spans="1:26" ht="15.75" x14ac:dyDescent="0.25">
      <c r="A1" s="243" t="s">
        <v>46</v>
      </c>
      <c r="B1" s="243"/>
      <c r="C1" s="243" t="s">
        <v>160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138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111</v>
      </c>
      <c r="B7" s="18" t="s">
        <v>139</v>
      </c>
      <c r="C7" s="39">
        <v>160</v>
      </c>
      <c r="D7" s="45">
        <v>180</v>
      </c>
      <c r="E7" s="37">
        <f>C7*1.6/100</f>
        <v>2.56</v>
      </c>
      <c r="F7" s="41">
        <f>D7*1.6/100</f>
        <v>2.88</v>
      </c>
      <c r="G7" s="37">
        <f>C7*2.54/100</f>
        <v>4.0640000000000001</v>
      </c>
      <c r="H7" s="41">
        <f>D7*2.54/100</f>
        <v>4.5720000000000001</v>
      </c>
      <c r="I7" s="39">
        <f>C7*10.7/100</f>
        <v>17.12</v>
      </c>
      <c r="J7" s="42">
        <f>D7*10.7/100</f>
        <v>19.259999999999998</v>
      </c>
      <c r="K7" s="39">
        <f t="shared" ref="K7:L8" si="0">E7*4+G7*9+I7*4</f>
        <v>115.29600000000001</v>
      </c>
      <c r="L7" s="42">
        <f t="shared" si="0"/>
        <v>129.708</v>
      </c>
      <c r="M7" s="43">
        <v>0</v>
      </c>
      <c r="N7" s="44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>
        <v>2</v>
      </c>
      <c r="B8" s="16" t="s">
        <v>140</v>
      </c>
      <c r="C8" s="38">
        <v>55</v>
      </c>
      <c r="D8" s="46">
        <v>55</v>
      </c>
      <c r="E8" s="143">
        <v>2.4900000000000002</v>
      </c>
      <c r="F8" s="144">
        <v>2.4900000000000002</v>
      </c>
      <c r="G8" s="37">
        <v>3.93</v>
      </c>
      <c r="H8" s="42">
        <v>3.93</v>
      </c>
      <c r="I8" s="39">
        <v>27.56</v>
      </c>
      <c r="J8" s="42">
        <v>27.56</v>
      </c>
      <c r="K8" s="39">
        <f t="shared" si="0"/>
        <v>155.57</v>
      </c>
      <c r="L8" s="42">
        <f t="shared" si="0"/>
        <v>155.57</v>
      </c>
      <c r="M8" s="69">
        <v>0.1</v>
      </c>
      <c r="N8" s="41">
        <v>0.1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264</v>
      </c>
      <c r="B9" s="19" t="s">
        <v>142</v>
      </c>
      <c r="C9" s="39">
        <v>150</v>
      </c>
      <c r="D9" s="45">
        <v>180</v>
      </c>
      <c r="E9" s="37">
        <v>2.34</v>
      </c>
      <c r="F9" s="41">
        <v>2.85</v>
      </c>
      <c r="G9" s="37">
        <v>2</v>
      </c>
      <c r="H9" s="41">
        <v>2.41</v>
      </c>
      <c r="I9" s="39">
        <v>10.63</v>
      </c>
      <c r="J9" s="41">
        <v>14.36</v>
      </c>
      <c r="K9" s="39">
        <f t="shared" ref="K9" si="1">E9*4+G9*9+I9*4</f>
        <v>69.88</v>
      </c>
      <c r="L9" s="42">
        <f t="shared" ref="L9" si="2">F9*4+H9*9+J9*4</f>
        <v>90.53</v>
      </c>
      <c r="M9" s="69">
        <v>0.98</v>
      </c>
      <c r="N9" s="41">
        <v>1.17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26"/>
      <c r="B10" s="27" t="s">
        <v>81</v>
      </c>
      <c r="C10" s="130">
        <f>SUM(C7:C9)</f>
        <v>365</v>
      </c>
      <c r="D10" s="33">
        <f t="shared" ref="D10:N10" si="3">SUM(D7:D9)</f>
        <v>415</v>
      </c>
      <c r="E10" s="130">
        <f t="shared" si="3"/>
        <v>7.3900000000000006</v>
      </c>
      <c r="F10" s="33">
        <f t="shared" si="3"/>
        <v>8.2200000000000006</v>
      </c>
      <c r="G10" s="130">
        <f t="shared" si="3"/>
        <v>9.9939999999999998</v>
      </c>
      <c r="H10" s="33">
        <f t="shared" si="3"/>
        <v>10.912000000000001</v>
      </c>
      <c r="I10" s="130">
        <f t="shared" si="3"/>
        <v>55.31</v>
      </c>
      <c r="J10" s="33">
        <f t="shared" si="3"/>
        <v>61.179999999999993</v>
      </c>
      <c r="K10" s="130">
        <f t="shared" si="3"/>
        <v>340.74599999999998</v>
      </c>
      <c r="L10" s="33">
        <f t="shared" si="3"/>
        <v>375.80799999999999</v>
      </c>
      <c r="M10" s="130">
        <f t="shared" si="3"/>
        <v>1.08</v>
      </c>
      <c r="N10" s="33">
        <f t="shared" si="3"/>
        <v>1.27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55" t="s">
        <v>26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7"/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17">
        <v>268</v>
      </c>
      <c r="B12" s="19" t="s">
        <v>44</v>
      </c>
      <c r="C12" s="39">
        <v>150</v>
      </c>
      <c r="D12" s="51">
        <v>180</v>
      </c>
      <c r="E12" s="49">
        <v>0</v>
      </c>
      <c r="F12" s="44">
        <v>0</v>
      </c>
      <c r="G12" s="49">
        <v>0</v>
      </c>
      <c r="H12" s="44">
        <v>0</v>
      </c>
      <c r="I12" s="39">
        <f>C12*15.9/100</f>
        <v>23.85</v>
      </c>
      <c r="J12" s="42">
        <f>D12*15.9/100</f>
        <v>28.62</v>
      </c>
      <c r="K12" s="39">
        <f t="shared" ref="K12:L12" si="4">E12*4+G12*9+I12*4</f>
        <v>95.4</v>
      </c>
      <c r="L12" s="42">
        <f t="shared" si="4"/>
        <v>114.48</v>
      </c>
      <c r="M12" s="49">
        <v>3</v>
      </c>
      <c r="N12" s="42">
        <v>3.6</v>
      </c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/>
      <c r="B13" s="27" t="s">
        <v>82</v>
      </c>
      <c r="C13" s="130">
        <f>SUM(C12)</f>
        <v>150</v>
      </c>
      <c r="D13" s="57">
        <f>SUM(D12)</f>
        <v>180</v>
      </c>
      <c r="E13" s="31">
        <f t="shared" ref="E13:H13" si="5">SUM(E12)</f>
        <v>0</v>
      </c>
      <c r="F13" s="40">
        <f t="shared" si="5"/>
        <v>0</v>
      </c>
      <c r="G13" s="31">
        <f t="shared" si="5"/>
        <v>0</v>
      </c>
      <c r="H13" s="40">
        <f t="shared" si="5"/>
        <v>0</v>
      </c>
      <c r="I13" s="31">
        <f>SUM(I12)</f>
        <v>23.85</v>
      </c>
      <c r="J13" s="33">
        <f t="shared" ref="J13" si="6">SUM(J12)</f>
        <v>28.62</v>
      </c>
      <c r="K13" s="130">
        <f t="shared" ref="K13" si="7">E13*4+G13*9+I13*4</f>
        <v>95.4</v>
      </c>
      <c r="L13" s="33">
        <f t="shared" ref="L13" si="8">F13*4+H13*9+J13*4</f>
        <v>114.48</v>
      </c>
      <c r="M13" s="31">
        <f t="shared" ref="M13:N13" si="9">SUM(M12)</f>
        <v>3</v>
      </c>
      <c r="N13" s="33">
        <f t="shared" si="9"/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255" t="s">
        <v>45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7"/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17">
        <v>30</v>
      </c>
      <c r="B15" s="19" t="s">
        <v>208</v>
      </c>
      <c r="C15" s="39">
        <v>40</v>
      </c>
      <c r="D15" s="51">
        <v>60</v>
      </c>
      <c r="E15" s="37">
        <v>0.42</v>
      </c>
      <c r="F15" s="41">
        <v>0.65</v>
      </c>
      <c r="G15" s="37">
        <v>2.8</v>
      </c>
      <c r="H15" s="41">
        <v>4.0999999999999996</v>
      </c>
      <c r="I15" s="39">
        <v>1.37</v>
      </c>
      <c r="J15" s="42">
        <v>2.1</v>
      </c>
      <c r="K15" s="37">
        <v>29.12</v>
      </c>
      <c r="L15" s="41">
        <v>43.7</v>
      </c>
      <c r="M15" s="37">
        <v>8.85</v>
      </c>
      <c r="N15" s="41">
        <v>13.2</v>
      </c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64</v>
      </c>
      <c r="B16" s="19" t="s">
        <v>241</v>
      </c>
      <c r="C16" s="39">
        <v>150</v>
      </c>
      <c r="D16" s="51">
        <v>200</v>
      </c>
      <c r="E16" s="37">
        <v>1.62</v>
      </c>
      <c r="F16" s="41">
        <v>2.16</v>
      </c>
      <c r="G16" s="37">
        <v>1.69</v>
      </c>
      <c r="H16" s="42">
        <v>2.2599999999999998</v>
      </c>
      <c r="I16" s="37">
        <v>10.29</v>
      </c>
      <c r="J16" s="41">
        <v>13.72</v>
      </c>
      <c r="K16" s="37">
        <f t="shared" ref="K16:K17" si="10">E16*4+G16*9+I16*4</f>
        <v>62.849999999999994</v>
      </c>
      <c r="L16" s="41">
        <v>83.8</v>
      </c>
      <c r="M16" s="39">
        <v>4.95</v>
      </c>
      <c r="N16" s="41">
        <v>6.6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54"/>
      <c r="B17" s="55" t="s">
        <v>157</v>
      </c>
      <c r="C17" s="39">
        <v>20</v>
      </c>
      <c r="D17" s="42">
        <v>24</v>
      </c>
      <c r="E17" s="39">
        <f>C17*13.56/60</f>
        <v>4.5199999999999996</v>
      </c>
      <c r="F17" s="41">
        <f>D17*13.56/60</f>
        <v>5.4240000000000004</v>
      </c>
      <c r="G17" s="39">
        <f>C17*10.2/60</f>
        <v>3.4</v>
      </c>
      <c r="H17" s="42">
        <f>D17*10.2/60</f>
        <v>4.08</v>
      </c>
      <c r="I17" s="49">
        <v>0</v>
      </c>
      <c r="J17" s="44">
        <v>0</v>
      </c>
      <c r="K17" s="37">
        <f t="shared" si="10"/>
        <v>48.679999999999993</v>
      </c>
      <c r="L17" s="41">
        <f t="shared" ref="L17" si="11">F17*4+H17*9+J17*4</f>
        <v>58.415999999999997</v>
      </c>
      <c r="M17" s="49">
        <v>0</v>
      </c>
      <c r="N17" s="44">
        <v>0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17">
        <v>84</v>
      </c>
      <c r="B18" s="19" t="s">
        <v>143</v>
      </c>
      <c r="C18" s="39">
        <v>100</v>
      </c>
      <c r="D18" s="42">
        <v>100</v>
      </c>
      <c r="E18" s="37">
        <f>C18*3.02/150</f>
        <v>2.0133333333333332</v>
      </c>
      <c r="F18" s="41">
        <f>D18*3.02/150</f>
        <v>2.0133333333333332</v>
      </c>
      <c r="G18" s="37">
        <f>C18*5.66/150</f>
        <v>3.7733333333333334</v>
      </c>
      <c r="H18" s="41">
        <f>D18*5.66/150</f>
        <v>3.7733333333333334</v>
      </c>
      <c r="I18" s="39">
        <f>C18*10.14/150</f>
        <v>6.76</v>
      </c>
      <c r="J18" s="41">
        <f>D18*10.14/150</f>
        <v>6.76</v>
      </c>
      <c r="K18" s="37">
        <f t="shared" ref="K18:K22" si="12">E18*4+G18*9+I18*4</f>
        <v>69.053333333333342</v>
      </c>
      <c r="L18" s="41">
        <f t="shared" ref="L18:L22" si="13">F18*4+H18*9+J18*4</f>
        <v>69.053333333333342</v>
      </c>
      <c r="M18" s="37">
        <f>C18*18.3/150</f>
        <v>12.2</v>
      </c>
      <c r="N18" s="41">
        <f>D18*18.3/150</f>
        <v>12.2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>
        <v>181</v>
      </c>
      <c r="B19" s="19" t="s">
        <v>144</v>
      </c>
      <c r="C19" s="39">
        <v>70</v>
      </c>
      <c r="D19" s="42">
        <v>80</v>
      </c>
      <c r="E19" s="37">
        <v>9.84</v>
      </c>
      <c r="F19" s="41">
        <f>D19*9.84/70</f>
        <v>11.245714285714286</v>
      </c>
      <c r="G19" s="37">
        <v>8.02</v>
      </c>
      <c r="H19" s="41">
        <f>D19*8.02/70</f>
        <v>9.1657142857142837</v>
      </c>
      <c r="I19" s="37">
        <v>7.16</v>
      </c>
      <c r="J19" s="41">
        <f>D19*7.16/70</f>
        <v>8.1828571428571415</v>
      </c>
      <c r="K19" s="37">
        <f t="shared" si="12"/>
        <v>140.18</v>
      </c>
      <c r="L19" s="41">
        <f t="shared" si="13"/>
        <v>160.20571428571427</v>
      </c>
      <c r="M19" s="39">
        <v>0.81</v>
      </c>
      <c r="N19" s="41">
        <f>D19*0.81/70</f>
        <v>0.92571428571428582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235</v>
      </c>
      <c r="B20" s="19" t="s">
        <v>136</v>
      </c>
      <c r="C20" s="39">
        <v>30</v>
      </c>
      <c r="D20" s="42">
        <v>30</v>
      </c>
      <c r="E20" s="37">
        <f>C20*1.16/100</f>
        <v>0.34799999999999998</v>
      </c>
      <c r="F20" s="41">
        <f>D20*1.16/100</f>
        <v>0.34799999999999998</v>
      </c>
      <c r="G20" s="39">
        <f>C20*4.2/100</f>
        <v>1.26</v>
      </c>
      <c r="H20" s="42">
        <f>D20*4.2/100</f>
        <v>1.26</v>
      </c>
      <c r="I20" s="37">
        <f>C20*8.02/100</f>
        <v>2.4060000000000001</v>
      </c>
      <c r="J20" s="41">
        <f>D20*8.02/100</f>
        <v>2.4060000000000001</v>
      </c>
      <c r="K20" s="37">
        <f t="shared" si="12"/>
        <v>22.356000000000002</v>
      </c>
      <c r="L20" s="41">
        <f t="shared" si="13"/>
        <v>22.356000000000002</v>
      </c>
      <c r="M20" s="37">
        <f>C20*2.38/100</f>
        <v>0.71399999999999997</v>
      </c>
      <c r="N20" s="41">
        <f>D20*2.38/100</f>
        <v>0.71399999999999997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253</v>
      </c>
      <c r="B21" s="19" t="s">
        <v>92</v>
      </c>
      <c r="C21" s="39">
        <v>150</v>
      </c>
      <c r="D21" s="42">
        <v>180</v>
      </c>
      <c r="E21" s="37">
        <f>C21*0.22/100</f>
        <v>0.33</v>
      </c>
      <c r="F21" s="41">
        <f>D21*0.22/100</f>
        <v>0.39600000000000002</v>
      </c>
      <c r="G21" s="39">
        <f>C21*0.01/100</f>
        <v>1.4999999999999999E-2</v>
      </c>
      <c r="H21" s="42">
        <f>D21*0.01/100</f>
        <v>1.8000000000000002E-2</v>
      </c>
      <c r="I21" s="37">
        <f>C21*13.88/100</f>
        <v>20.82</v>
      </c>
      <c r="J21" s="41">
        <f>D21*13.88/100</f>
        <v>24.984000000000002</v>
      </c>
      <c r="K21" s="37">
        <f t="shared" si="12"/>
        <v>84.734999999999999</v>
      </c>
      <c r="L21" s="41">
        <f t="shared" si="13"/>
        <v>101.682</v>
      </c>
      <c r="M21" s="39">
        <f>C21*0.2/100</f>
        <v>0.3</v>
      </c>
      <c r="N21" s="42">
        <f>D21*0.2/100</f>
        <v>0.36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/>
      <c r="B22" s="19" t="s">
        <v>58</v>
      </c>
      <c r="C22" s="39">
        <v>40</v>
      </c>
      <c r="D22" s="42">
        <v>50</v>
      </c>
      <c r="E22" s="37">
        <f>C22*7.92/100</f>
        <v>3.1680000000000001</v>
      </c>
      <c r="F22" s="42">
        <f>D22*7.92/100</f>
        <v>3.96</v>
      </c>
      <c r="G22" s="37">
        <f>C22*1.32/100</f>
        <v>0.52800000000000002</v>
      </c>
      <c r="H22" s="42">
        <f>D22*1.32/100</f>
        <v>0.66</v>
      </c>
      <c r="I22" s="39">
        <f>C22*52.68/100</f>
        <v>21.071999999999999</v>
      </c>
      <c r="J22" s="42">
        <f>D22*52.68/100</f>
        <v>26.34</v>
      </c>
      <c r="K22" s="37">
        <f t="shared" si="12"/>
        <v>101.71199999999999</v>
      </c>
      <c r="L22" s="41">
        <f t="shared" si="13"/>
        <v>127.14</v>
      </c>
      <c r="M22" s="49">
        <v>0</v>
      </c>
      <c r="N22" s="44">
        <v>0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26"/>
      <c r="B23" s="27" t="s">
        <v>83</v>
      </c>
      <c r="C23" s="130">
        <f>SUM(C15:C22)</f>
        <v>600</v>
      </c>
      <c r="D23" s="33">
        <f t="shared" ref="D23:N23" si="14">SUM(D15:D22)</f>
        <v>724</v>
      </c>
      <c r="E23" s="31">
        <f t="shared" si="14"/>
        <v>22.259333333333331</v>
      </c>
      <c r="F23" s="40">
        <f t="shared" si="14"/>
        <v>26.19704761904762</v>
      </c>
      <c r="G23" s="130">
        <f t="shared" si="14"/>
        <v>21.486333333333334</v>
      </c>
      <c r="H23" s="33">
        <f t="shared" si="14"/>
        <v>25.317047619047621</v>
      </c>
      <c r="I23" s="31">
        <f t="shared" si="14"/>
        <v>69.878</v>
      </c>
      <c r="J23" s="40">
        <f t="shared" si="14"/>
        <v>84.492857142857147</v>
      </c>
      <c r="K23" s="31">
        <f t="shared" si="14"/>
        <v>558.68633333333332</v>
      </c>
      <c r="L23" s="40">
        <f t="shared" si="14"/>
        <v>666.35304761904763</v>
      </c>
      <c r="M23" s="130">
        <f t="shared" si="14"/>
        <v>27.823999999999998</v>
      </c>
      <c r="N23" s="33">
        <f t="shared" si="14"/>
        <v>33.999714285714283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262" t="s">
        <v>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17">
        <v>275</v>
      </c>
      <c r="B25" s="19" t="s">
        <v>231</v>
      </c>
      <c r="C25" s="39">
        <v>60</v>
      </c>
      <c r="D25" s="42">
        <v>120</v>
      </c>
      <c r="E25" s="37">
        <v>4.58</v>
      </c>
      <c r="F25" s="41">
        <v>9.0500000000000007</v>
      </c>
      <c r="G25" s="37">
        <v>7.33</v>
      </c>
      <c r="H25" s="41">
        <v>11.37</v>
      </c>
      <c r="I25" s="37">
        <v>24.75</v>
      </c>
      <c r="J25" s="41">
        <v>49.1</v>
      </c>
      <c r="K25" s="37">
        <v>183</v>
      </c>
      <c r="L25" s="41">
        <v>335</v>
      </c>
      <c r="M25" s="37">
        <v>0.22</v>
      </c>
      <c r="N25" s="41">
        <v>0.44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237</v>
      </c>
      <c r="B26" s="19" t="s">
        <v>145</v>
      </c>
      <c r="C26" s="39">
        <v>30</v>
      </c>
      <c r="D26" s="42">
        <v>30</v>
      </c>
      <c r="E26" s="37">
        <f>C26*2.06/100</f>
        <v>0.61799999999999999</v>
      </c>
      <c r="F26" s="41">
        <f>D26*2.06/100</f>
        <v>0.61799999999999999</v>
      </c>
      <c r="G26" s="37">
        <f>C26*5.24/100</f>
        <v>1.5720000000000001</v>
      </c>
      <c r="H26" s="41">
        <f>D26*5.24/100</f>
        <v>1.5720000000000001</v>
      </c>
      <c r="I26" s="37">
        <f>C26*7.09/100</f>
        <v>2.1269999999999998</v>
      </c>
      <c r="J26" s="41">
        <f>D26*7.09/100</f>
        <v>2.1269999999999998</v>
      </c>
      <c r="K26" s="37">
        <f t="shared" ref="K26:K28" si="15">E26*4+G26*9+I26*4</f>
        <v>25.128</v>
      </c>
      <c r="L26" s="41">
        <f t="shared" ref="L26:L28" si="16">F26*4+H26*9+J26*4</f>
        <v>25.128</v>
      </c>
      <c r="M26" s="37">
        <f>C26*0.33/100</f>
        <v>9.9000000000000005E-2</v>
      </c>
      <c r="N26" s="41">
        <f>D26*0.33/100</f>
        <v>9.9000000000000005E-2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>
        <v>263</v>
      </c>
      <c r="B27" s="19" t="s">
        <v>146</v>
      </c>
      <c r="C27" s="39">
        <v>150</v>
      </c>
      <c r="D27" s="42">
        <v>180</v>
      </c>
      <c r="E27" s="39">
        <v>2.65</v>
      </c>
      <c r="F27" s="42">
        <v>2.67</v>
      </c>
      <c r="G27" s="39">
        <v>2.33</v>
      </c>
      <c r="H27" s="41">
        <v>2.34</v>
      </c>
      <c r="I27" s="37">
        <v>11.31</v>
      </c>
      <c r="J27" s="42">
        <v>14.31</v>
      </c>
      <c r="K27" s="37">
        <f t="shared" si="15"/>
        <v>76.81</v>
      </c>
      <c r="L27" s="41">
        <f t="shared" si="16"/>
        <v>88.98</v>
      </c>
      <c r="M27" s="37">
        <v>0.02</v>
      </c>
      <c r="N27" s="41">
        <v>0.03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>
        <v>248</v>
      </c>
      <c r="B28" s="19" t="s">
        <v>147</v>
      </c>
      <c r="C28" s="39">
        <v>100</v>
      </c>
      <c r="D28" s="42">
        <v>100</v>
      </c>
      <c r="E28" s="37">
        <v>0.4</v>
      </c>
      <c r="F28" s="41">
        <v>0.4</v>
      </c>
      <c r="G28" s="37">
        <v>0.3</v>
      </c>
      <c r="H28" s="41">
        <v>0.3</v>
      </c>
      <c r="I28" s="37">
        <v>10.3</v>
      </c>
      <c r="J28" s="41">
        <v>10.3</v>
      </c>
      <c r="K28" s="37">
        <f t="shared" si="15"/>
        <v>45.5</v>
      </c>
      <c r="L28" s="41">
        <f t="shared" si="16"/>
        <v>45.5</v>
      </c>
      <c r="M28" s="49">
        <v>5</v>
      </c>
      <c r="N28" s="44">
        <v>5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17"/>
      <c r="B29" s="27" t="s">
        <v>80</v>
      </c>
      <c r="C29" s="130">
        <f>SUM(C25:C28)</f>
        <v>340</v>
      </c>
      <c r="D29" s="33">
        <f>SUM(D25:D28)</f>
        <v>430</v>
      </c>
      <c r="E29" s="31">
        <f t="shared" ref="E29:N29" si="17">SUM(E25:E28)</f>
        <v>8.2480000000000011</v>
      </c>
      <c r="F29" s="40">
        <f t="shared" si="17"/>
        <v>12.738000000000001</v>
      </c>
      <c r="G29" s="31">
        <f t="shared" si="17"/>
        <v>11.532000000000002</v>
      </c>
      <c r="H29" s="40">
        <f t="shared" si="17"/>
        <v>15.582000000000001</v>
      </c>
      <c r="I29" s="31">
        <f t="shared" si="17"/>
        <v>48.486999999999995</v>
      </c>
      <c r="J29" s="40">
        <f t="shared" si="17"/>
        <v>75.837000000000003</v>
      </c>
      <c r="K29" s="31">
        <f t="shared" si="17"/>
        <v>330.43799999999999</v>
      </c>
      <c r="L29" s="33">
        <f t="shared" si="17"/>
        <v>494.608</v>
      </c>
      <c r="M29" s="31">
        <f t="shared" si="17"/>
        <v>5.3390000000000004</v>
      </c>
      <c r="N29" s="40">
        <f t="shared" si="17"/>
        <v>5.569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6" x14ac:dyDescent="0.25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P30" s="5"/>
      <c r="Q30" s="111"/>
      <c r="R30" s="111"/>
      <c r="S30" s="111"/>
      <c r="T30" s="111"/>
      <c r="V30" s="5"/>
      <c r="W30" s="111"/>
      <c r="X30" s="111"/>
      <c r="Y30" s="111"/>
      <c r="Z30" s="111"/>
    </row>
    <row r="31" spans="1:26" x14ac:dyDescent="0.25">
      <c r="A31" s="105"/>
      <c r="B31" s="106" t="s">
        <v>59</v>
      </c>
      <c r="C31" s="105"/>
      <c r="D31" s="105"/>
      <c r="E31" s="31">
        <f>E10+E13+E23+E29</f>
        <v>37.897333333333336</v>
      </c>
      <c r="F31" s="40">
        <f t="shared" ref="F31:N31" si="18">F10+F13+F23+F29</f>
        <v>47.155047619047622</v>
      </c>
      <c r="G31" s="31">
        <f t="shared" si="18"/>
        <v>43.012333333333338</v>
      </c>
      <c r="H31" s="40">
        <f t="shared" si="18"/>
        <v>51.811047619047621</v>
      </c>
      <c r="I31" s="31">
        <f t="shared" si="18"/>
        <v>197.52500000000001</v>
      </c>
      <c r="J31" s="40">
        <f t="shared" si="18"/>
        <v>250.12985714285713</v>
      </c>
      <c r="K31" s="31">
        <f t="shared" si="18"/>
        <v>1325.2703333333334</v>
      </c>
      <c r="L31" s="40">
        <f t="shared" si="18"/>
        <v>1651.2490476190476</v>
      </c>
      <c r="M31" s="31">
        <f t="shared" si="18"/>
        <v>37.242999999999995</v>
      </c>
      <c r="N31" s="40">
        <f t="shared" si="18"/>
        <v>44.438714285714283</v>
      </c>
      <c r="P31" s="132"/>
      <c r="Q31" s="5"/>
      <c r="R31" s="5"/>
      <c r="S31" s="5"/>
      <c r="T31" s="5"/>
      <c r="V31" s="133"/>
      <c r="W31" s="5"/>
      <c r="X31" s="5"/>
      <c r="Y31" s="5"/>
      <c r="Z31" s="5"/>
    </row>
    <row r="32" spans="1:26" x14ac:dyDescent="0.25">
      <c r="A32" s="117"/>
      <c r="B32" s="106" t="s">
        <v>174</v>
      </c>
      <c r="C32" s="60"/>
      <c r="D32" s="60"/>
      <c r="E32" s="110" t="s">
        <v>165</v>
      </c>
      <c r="F32" s="110" t="s">
        <v>166</v>
      </c>
      <c r="G32" s="110" t="s">
        <v>167</v>
      </c>
      <c r="H32" s="110" t="s">
        <v>168</v>
      </c>
      <c r="I32" s="110" t="s">
        <v>169</v>
      </c>
      <c r="J32" s="110" t="s">
        <v>170</v>
      </c>
      <c r="K32" s="110" t="s">
        <v>171</v>
      </c>
      <c r="L32" s="110" t="s">
        <v>172</v>
      </c>
      <c r="M32" s="108" t="s">
        <v>188</v>
      </c>
      <c r="N32" s="108" t="s">
        <v>189</v>
      </c>
      <c r="P32" s="132"/>
      <c r="V32" s="67"/>
      <c r="W32" s="5"/>
      <c r="X32" s="5"/>
      <c r="Y32" s="5"/>
      <c r="Z32" s="5"/>
    </row>
    <row r="33" spans="1:26" x14ac:dyDescent="0.25">
      <c r="A33" s="120"/>
      <c r="B33" s="121"/>
      <c r="C33" s="122"/>
      <c r="D33" s="122"/>
      <c r="E33" s="123"/>
      <c r="F33" s="123"/>
      <c r="G33" s="123"/>
      <c r="H33" s="123"/>
      <c r="I33" s="123"/>
      <c r="J33" s="123"/>
      <c r="K33" s="123"/>
      <c r="L33" s="123"/>
      <c r="M33" s="124"/>
      <c r="N33" s="124"/>
      <c r="P33" s="126"/>
      <c r="V33" s="111"/>
      <c r="W33" s="5"/>
      <c r="X33" s="5"/>
      <c r="Y33" s="5"/>
      <c r="Z33" s="5"/>
    </row>
    <row r="34" spans="1:26" x14ac:dyDescent="0.25">
      <c r="A34" s="5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P34" s="126"/>
      <c r="V34" s="111"/>
      <c r="W34" s="5"/>
      <c r="X34" s="5"/>
      <c r="Y34" s="5"/>
      <c r="Z34" s="5"/>
    </row>
    <row r="35" spans="1:26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6"/>
      <c r="V35" s="111"/>
      <c r="W35" s="5"/>
      <c r="X35" s="5"/>
      <c r="Y35" s="5"/>
      <c r="Z35" s="5"/>
    </row>
    <row r="36" spans="1:26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127"/>
      <c r="V36" s="128"/>
      <c r="W36" s="5"/>
      <c r="X36" s="5"/>
      <c r="Y36" s="5"/>
      <c r="Z36" s="5"/>
    </row>
    <row r="37" spans="1:26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P37" s="5"/>
      <c r="V37" s="5"/>
      <c r="W37" s="5"/>
      <c r="X37" s="5"/>
      <c r="Y37" s="5"/>
      <c r="Z37" s="5"/>
    </row>
    <row r="38" spans="1:26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6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6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6" x14ac:dyDescent="0.25">
      <c r="A41" s="53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6" x14ac:dyDescent="0.25">
      <c r="A42" s="66"/>
      <c r="B42" s="66"/>
      <c r="C42" s="6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26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6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6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6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26" x14ac:dyDescent="0.25">
      <c r="A47" s="5"/>
      <c r="B47" s="5"/>
      <c r="C47" s="67"/>
      <c r="D47" s="5"/>
      <c r="I47" s="28"/>
      <c r="J47" s="28"/>
      <c r="K47" s="28"/>
      <c r="L47" s="28"/>
      <c r="M47" s="28"/>
      <c r="N47" s="28"/>
    </row>
    <row r="48" spans="1:26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B73" s="5"/>
      <c r="C73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E4:F4"/>
    <mergeCell ref="G4:H4"/>
    <mergeCell ref="I4:J4"/>
    <mergeCell ref="K3:L4"/>
    <mergeCell ref="M3:N4"/>
    <mergeCell ref="A6:N6"/>
    <mergeCell ref="A24:N24"/>
    <mergeCell ref="A30:N30"/>
    <mergeCell ref="A14:N14"/>
    <mergeCell ref="A11:N11"/>
  </mergeCells>
  <pageMargins left="0.32291666666666669" right="0.7" top="0.22916666666666666" bottom="0.44791666666666669" header="0.3" footer="0.3"/>
  <pageSetup paperSize="9" orientation="landscape" horizontalDpi="4294967293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opLeftCell="A4" zoomScaleNormal="100" workbookViewId="0">
      <selection activeCell="N26" sqref="N26"/>
    </sheetView>
  </sheetViews>
  <sheetFormatPr defaultRowHeight="15" x14ac:dyDescent="0.25"/>
  <cols>
    <col min="1" max="1" width="4.85546875" style="104" customWidth="1"/>
    <col min="2" max="2" width="37.42578125" style="104" customWidth="1"/>
    <col min="3" max="3" width="7.28515625" style="104" customWidth="1"/>
    <col min="4" max="4" width="6.5703125" style="104" customWidth="1"/>
    <col min="5" max="5" width="6.7109375" style="104" customWidth="1"/>
    <col min="6" max="6" width="6.85546875" style="104" customWidth="1"/>
    <col min="7" max="7" width="6.42578125" style="104" customWidth="1"/>
    <col min="8" max="8" width="6.5703125" style="104" customWidth="1"/>
    <col min="9" max="10" width="8" style="104" customWidth="1"/>
    <col min="11" max="11" width="9.28515625" style="104" customWidth="1"/>
    <col min="12" max="12" width="9.42578125" style="104" customWidth="1"/>
    <col min="13" max="13" width="6.5703125" style="104" customWidth="1"/>
    <col min="14" max="14" width="7.28515625" style="104" customWidth="1"/>
    <col min="15" max="15" width="20.7109375" style="104" customWidth="1"/>
    <col min="16" max="16" width="7.28515625" style="104" customWidth="1"/>
    <col min="17" max="20" width="9.140625" style="104"/>
    <col min="21" max="21" width="19.7109375" style="104" customWidth="1"/>
    <col min="22" max="22" width="7.7109375" style="104" customWidth="1"/>
    <col min="23" max="23" width="9.140625" style="104"/>
    <col min="24" max="24" width="7.7109375" style="104" customWidth="1"/>
    <col min="25" max="16384" width="9.140625" style="104"/>
  </cols>
  <sheetData>
    <row r="1" spans="1:26" ht="15.75" x14ac:dyDescent="0.25">
      <c r="A1" s="243" t="s">
        <v>46</v>
      </c>
      <c r="B1" s="243"/>
      <c r="C1" s="243" t="s">
        <v>160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148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68</v>
      </c>
      <c r="B7" s="18" t="s">
        <v>149</v>
      </c>
      <c r="C7" s="39">
        <v>150</v>
      </c>
      <c r="D7" s="45">
        <v>200</v>
      </c>
      <c r="E7" s="37">
        <f>C7*2.88/100</f>
        <v>4.32</v>
      </c>
      <c r="F7" s="41">
        <f>D7*2.88/100</f>
        <v>5.76</v>
      </c>
      <c r="G7" s="37">
        <f>C7*2.61/100</f>
        <v>3.915</v>
      </c>
      <c r="H7" s="42">
        <f>D7*2.61/100</f>
        <v>5.22</v>
      </c>
      <c r="I7" s="39">
        <f>C7*9.42/100</f>
        <v>14.13</v>
      </c>
      <c r="J7" s="42">
        <f>D7*9.42/100</f>
        <v>18.84</v>
      </c>
      <c r="K7" s="37">
        <f t="shared" ref="K7:L11" si="0">E7*4+G7*9+I7*4</f>
        <v>109.035</v>
      </c>
      <c r="L7" s="42">
        <f t="shared" si="0"/>
        <v>145.38</v>
      </c>
      <c r="M7" s="39">
        <f>C7*0.46/100</f>
        <v>0.69</v>
      </c>
      <c r="N7" s="42">
        <f>D7*0.46/100</f>
        <v>0.92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5</v>
      </c>
      <c r="B9" s="18" t="s">
        <v>150</v>
      </c>
      <c r="C9" s="39">
        <v>10</v>
      </c>
      <c r="D9" s="47">
        <v>15</v>
      </c>
      <c r="E9" s="39">
        <f>C9*0.08/10</f>
        <v>0.08</v>
      </c>
      <c r="F9" s="42">
        <f>D9*0.08/10</f>
        <v>0.12</v>
      </c>
      <c r="G9" s="37">
        <f>C9*7.25/10</f>
        <v>7.25</v>
      </c>
      <c r="H9" s="41">
        <f>D9*7.25/10</f>
        <v>10.875</v>
      </c>
      <c r="I9" s="39">
        <f>C9*0.13/10</f>
        <v>0.13</v>
      </c>
      <c r="J9" s="42">
        <f>D9*0.13/10</f>
        <v>0.19500000000000001</v>
      </c>
      <c r="K9" s="39">
        <f>E9*4+G9*9+I9*4</f>
        <v>66.089999999999989</v>
      </c>
      <c r="L9" s="42">
        <f t="shared" si="0"/>
        <v>99.135000000000005</v>
      </c>
      <c r="M9" s="43">
        <f>C9*0/10</f>
        <v>0</v>
      </c>
      <c r="N9" s="44">
        <f>D9*0/10</f>
        <v>0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14">
        <v>261</v>
      </c>
      <c r="B10" s="109" t="s">
        <v>215</v>
      </c>
      <c r="C10" s="39">
        <v>150</v>
      </c>
      <c r="D10" s="42">
        <v>180</v>
      </c>
      <c r="E10" s="49">
        <v>0.04</v>
      </c>
      <c r="F10" s="44">
        <v>0.06</v>
      </c>
      <c r="G10" s="49">
        <v>0.01</v>
      </c>
      <c r="H10" s="44">
        <v>0.02</v>
      </c>
      <c r="I10" s="37">
        <v>6.99</v>
      </c>
      <c r="J10" s="41">
        <v>9.99</v>
      </c>
      <c r="K10" s="37">
        <v>20</v>
      </c>
      <c r="L10" s="41">
        <v>40</v>
      </c>
      <c r="M10" s="39">
        <v>0.02</v>
      </c>
      <c r="N10" s="42">
        <v>0.03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340</v>
      </c>
      <c r="D11" s="48">
        <f>SUM(D7:D10)</f>
        <v>435</v>
      </c>
      <c r="E11" s="31">
        <f t="shared" ref="E11:N11" si="1">SUM(E7:E10)</f>
        <v>6.69</v>
      </c>
      <c r="F11" s="40">
        <f t="shared" si="1"/>
        <v>8.94</v>
      </c>
      <c r="G11" s="31">
        <f t="shared" si="1"/>
        <v>12.045</v>
      </c>
      <c r="H11" s="40">
        <f t="shared" si="1"/>
        <v>17.274999999999999</v>
      </c>
      <c r="I11" s="31">
        <f t="shared" si="1"/>
        <v>36.67</v>
      </c>
      <c r="J11" s="40">
        <f t="shared" si="1"/>
        <v>49.585000000000001</v>
      </c>
      <c r="K11" s="31">
        <f t="shared" si="0"/>
        <v>281.84500000000003</v>
      </c>
      <c r="L11" s="40">
        <f t="shared" si="0"/>
        <v>389.57499999999999</v>
      </c>
      <c r="M11" s="31">
        <f t="shared" si="1"/>
        <v>0.71</v>
      </c>
      <c r="N11" s="40">
        <f t="shared" si="1"/>
        <v>0.95000000000000007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270</v>
      </c>
      <c r="B13" s="19" t="s">
        <v>151</v>
      </c>
      <c r="C13" s="39">
        <v>150</v>
      </c>
      <c r="D13" s="51">
        <v>180</v>
      </c>
      <c r="E13" s="37">
        <v>4.3499999999999996</v>
      </c>
      <c r="F13" s="41">
        <v>5.22</v>
      </c>
      <c r="G13" s="37">
        <v>3.75</v>
      </c>
      <c r="H13" s="41">
        <v>4.5</v>
      </c>
      <c r="I13" s="37">
        <v>6.3</v>
      </c>
      <c r="J13" s="42">
        <v>7.56</v>
      </c>
      <c r="K13" s="39">
        <f t="shared" ref="K13:L13" si="2">E13*4+G13*9+I13*4</f>
        <v>76.349999999999994</v>
      </c>
      <c r="L13" s="42">
        <f t="shared" si="2"/>
        <v>91.61999999999999</v>
      </c>
      <c r="M13" s="37">
        <v>0.45</v>
      </c>
      <c r="N13" s="42">
        <v>0.54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3">SUM(E13)</f>
        <v>4.3499999999999996</v>
      </c>
      <c r="F14" s="40">
        <f t="shared" si="3"/>
        <v>5.22</v>
      </c>
      <c r="G14" s="31">
        <f t="shared" si="3"/>
        <v>3.75</v>
      </c>
      <c r="H14" s="40">
        <f t="shared" si="3"/>
        <v>4.5</v>
      </c>
      <c r="I14" s="31">
        <f>SUM(I13)</f>
        <v>6.3</v>
      </c>
      <c r="J14" s="33">
        <f t="shared" ref="J14:N14" si="4">SUM(J13)</f>
        <v>7.56</v>
      </c>
      <c r="K14" s="130">
        <f t="shared" ref="K14:L14" si="5">E14*4+G14*9+I14*4</f>
        <v>76.349999999999994</v>
      </c>
      <c r="L14" s="33">
        <f t="shared" si="5"/>
        <v>91.61999999999999</v>
      </c>
      <c r="M14" s="31">
        <f t="shared" si="4"/>
        <v>0.45</v>
      </c>
      <c r="N14" s="33">
        <f t="shared" si="4"/>
        <v>0.54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31</v>
      </c>
      <c r="B16" s="19" t="s">
        <v>209</v>
      </c>
      <c r="C16" s="39">
        <v>40</v>
      </c>
      <c r="D16" s="51">
        <v>60</v>
      </c>
      <c r="E16" s="37">
        <v>0.38</v>
      </c>
      <c r="F16" s="41">
        <v>0.56999999999999995</v>
      </c>
      <c r="G16" s="37">
        <v>2.42</v>
      </c>
      <c r="H16" s="41">
        <v>3.6</v>
      </c>
      <c r="I16" s="39">
        <v>1.6</v>
      </c>
      <c r="J16" s="42">
        <v>1.83</v>
      </c>
      <c r="K16" s="37">
        <v>28.2</v>
      </c>
      <c r="L16" s="41">
        <v>42.4</v>
      </c>
      <c r="M16" s="37">
        <v>3.8</v>
      </c>
      <c r="N16" s="41">
        <v>5.7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17">
        <v>52</v>
      </c>
      <c r="B17" s="19" t="s">
        <v>152</v>
      </c>
      <c r="C17" s="39">
        <v>150</v>
      </c>
      <c r="D17" s="51">
        <v>200</v>
      </c>
      <c r="E17" s="37">
        <f>C17*0.73/100</f>
        <v>1.095</v>
      </c>
      <c r="F17" s="41">
        <f>D17*0.73/100</f>
        <v>1.46</v>
      </c>
      <c r="G17" s="37">
        <f>C17*1.96/100</f>
        <v>2.94</v>
      </c>
      <c r="H17" s="42">
        <f>D17*1.96/100</f>
        <v>3.92</v>
      </c>
      <c r="I17" s="39">
        <f>C17*5.1/100</f>
        <v>7.65</v>
      </c>
      <c r="J17" s="42">
        <f>D17*5.1/100</f>
        <v>10.199999999999999</v>
      </c>
      <c r="K17" s="37">
        <f t="shared" ref="K17:L19" si="6">E17*4+G17*9+I17*4</f>
        <v>61.44</v>
      </c>
      <c r="L17" s="41">
        <f t="shared" si="6"/>
        <v>81.92</v>
      </c>
      <c r="M17" s="37">
        <f>C17*4.11/100</f>
        <v>6.165</v>
      </c>
      <c r="N17" s="42">
        <f>D17*4.11/100</f>
        <v>8.2200000000000006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54"/>
      <c r="B18" s="55" t="s">
        <v>128</v>
      </c>
      <c r="C18" s="39">
        <v>20</v>
      </c>
      <c r="D18" s="42">
        <v>24</v>
      </c>
      <c r="E18" s="39">
        <f>C18*13.56/60</f>
        <v>4.5199999999999996</v>
      </c>
      <c r="F18" s="41">
        <f>D18*18.08/80</f>
        <v>5.4239999999999995</v>
      </c>
      <c r="G18" s="37">
        <f>C18*10.2/60</f>
        <v>3.4</v>
      </c>
      <c r="H18" s="42">
        <f>D18*13.6/80</f>
        <v>4.08</v>
      </c>
      <c r="I18" s="49">
        <v>0</v>
      </c>
      <c r="J18" s="44">
        <v>0</v>
      </c>
      <c r="K18" s="37">
        <f t="shared" si="6"/>
        <v>48.679999999999993</v>
      </c>
      <c r="L18" s="41">
        <f t="shared" si="6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/>
      <c r="B19" s="19" t="s">
        <v>56</v>
      </c>
      <c r="C19" s="39">
        <v>10</v>
      </c>
      <c r="D19" s="42">
        <v>10</v>
      </c>
      <c r="E19" s="39">
        <f>C19*2.6/100</f>
        <v>0.26</v>
      </c>
      <c r="F19" s="42">
        <f>D19*2.6/100</f>
        <v>0.26</v>
      </c>
      <c r="G19" s="39">
        <f>C19*15/100</f>
        <v>1.5</v>
      </c>
      <c r="H19" s="42">
        <f>D19*15/100</f>
        <v>1.5</v>
      </c>
      <c r="I19" s="39">
        <f>C19*3.6/100</f>
        <v>0.36</v>
      </c>
      <c r="J19" s="42">
        <f>D19*3.6/100</f>
        <v>0.36</v>
      </c>
      <c r="K19" s="37">
        <f t="shared" si="6"/>
        <v>15.979999999999999</v>
      </c>
      <c r="L19" s="41">
        <f t="shared" si="6"/>
        <v>15.979999999999999</v>
      </c>
      <c r="M19" s="39">
        <f>C19*0.4/100</f>
        <v>0.04</v>
      </c>
      <c r="N19" s="42">
        <f>D19*0.4/100</f>
        <v>0.04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 t="s">
        <v>159</v>
      </c>
      <c r="B20" s="109" t="s">
        <v>195</v>
      </c>
      <c r="C20" s="39">
        <v>200</v>
      </c>
      <c r="D20" s="42">
        <v>200</v>
      </c>
      <c r="E20" s="37">
        <v>17.2</v>
      </c>
      <c r="F20" s="41">
        <v>17.2</v>
      </c>
      <c r="G20" s="39">
        <v>8.4</v>
      </c>
      <c r="H20" s="41">
        <v>8.4</v>
      </c>
      <c r="I20" s="37">
        <v>42.8</v>
      </c>
      <c r="J20" s="41">
        <v>42.8</v>
      </c>
      <c r="K20" s="37">
        <v>324</v>
      </c>
      <c r="L20" s="41">
        <v>324</v>
      </c>
      <c r="M20" s="49">
        <v>0</v>
      </c>
      <c r="N20" s="44">
        <v>0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253</v>
      </c>
      <c r="B21" s="19" t="s">
        <v>218</v>
      </c>
      <c r="C21" s="39">
        <v>150</v>
      </c>
      <c r="D21" s="42">
        <v>180</v>
      </c>
      <c r="E21" s="39">
        <v>0.33</v>
      </c>
      <c r="F21" s="42">
        <v>0.4</v>
      </c>
      <c r="G21" s="39">
        <v>0.02</v>
      </c>
      <c r="H21" s="41">
        <v>0.02</v>
      </c>
      <c r="I21" s="37">
        <v>20.88</v>
      </c>
      <c r="J21" s="42">
        <v>25</v>
      </c>
      <c r="K21" s="37">
        <v>85</v>
      </c>
      <c r="L21" s="41">
        <v>103</v>
      </c>
      <c r="M21" s="37">
        <v>0.3</v>
      </c>
      <c r="N21" s="41">
        <v>0.36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/>
      <c r="B22" s="19" t="s">
        <v>58</v>
      </c>
      <c r="C22" s="39">
        <v>40</v>
      </c>
      <c r="D22" s="42">
        <v>50</v>
      </c>
      <c r="E22" s="37">
        <f>C22*7.92/100</f>
        <v>3.1680000000000001</v>
      </c>
      <c r="F22" s="42">
        <f>D22*7.92/100</f>
        <v>3.96</v>
      </c>
      <c r="G22" s="37">
        <f>C22*1.32/100</f>
        <v>0.52800000000000002</v>
      </c>
      <c r="H22" s="42">
        <f>D22*1.32/100</f>
        <v>0.66</v>
      </c>
      <c r="I22" s="39">
        <f>C22*52.68/100</f>
        <v>21.071999999999999</v>
      </c>
      <c r="J22" s="42">
        <f>D22*52.68/100</f>
        <v>26.34</v>
      </c>
      <c r="K22" s="37">
        <f t="shared" ref="K22" si="7">E22*4+G22*9+I22*4</f>
        <v>101.71199999999999</v>
      </c>
      <c r="L22" s="41">
        <f t="shared" ref="L22" si="8">F22*4+H22*9+J22*4</f>
        <v>127.14</v>
      </c>
      <c r="M22" s="49">
        <v>0</v>
      </c>
      <c r="N22" s="44">
        <v>0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17"/>
      <c r="B23" s="27" t="s">
        <v>83</v>
      </c>
      <c r="C23" s="130">
        <f>SUM(C16:C22)</f>
        <v>610</v>
      </c>
      <c r="D23" s="33">
        <f t="shared" ref="D23:N23" si="9">SUM(D16:D22)</f>
        <v>724</v>
      </c>
      <c r="E23" s="31">
        <f t="shared" si="9"/>
        <v>26.952999999999996</v>
      </c>
      <c r="F23" s="33">
        <f t="shared" si="9"/>
        <v>29.273999999999997</v>
      </c>
      <c r="G23" s="31">
        <f t="shared" si="9"/>
        <v>19.207999999999998</v>
      </c>
      <c r="H23" s="40">
        <f t="shared" si="9"/>
        <v>22.18</v>
      </c>
      <c r="I23" s="31">
        <f t="shared" si="9"/>
        <v>94.361999999999995</v>
      </c>
      <c r="J23" s="33">
        <f t="shared" si="9"/>
        <v>106.53</v>
      </c>
      <c r="K23" s="31">
        <f t="shared" si="9"/>
        <v>665.01199999999994</v>
      </c>
      <c r="L23" s="40">
        <f t="shared" si="9"/>
        <v>752.85599999999999</v>
      </c>
      <c r="M23" s="31">
        <f t="shared" si="9"/>
        <v>10.305</v>
      </c>
      <c r="N23" s="33">
        <f t="shared" si="9"/>
        <v>14.32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262" t="s">
        <v>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17">
        <v>259</v>
      </c>
      <c r="B25" s="19" t="s">
        <v>242</v>
      </c>
      <c r="C25" s="39">
        <v>80</v>
      </c>
      <c r="D25" s="42">
        <v>110</v>
      </c>
      <c r="E25" s="37">
        <v>3.99</v>
      </c>
      <c r="F25" s="42">
        <v>4.95</v>
      </c>
      <c r="G25" s="37">
        <v>2.2799999999999998</v>
      </c>
      <c r="H25" s="41">
        <v>2.81</v>
      </c>
      <c r="I25" s="39">
        <v>22.25</v>
      </c>
      <c r="J25" s="41">
        <v>35.5</v>
      </c>
      <c r="K25" s="37">
        <v>127</v>
      </c>
      <c r="L25" s="41">
        <v>187</v>
      </c>
      <c r="M25" s="37">
        <v>2.4900000000000002</v>
      </c>
      <c r="N25" s="42">
        <v>3.15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269</v>
      </c>
      <c r="B26" s="19" t="s">
        <v>153</v>
      </c>
      <c r="C26" s="39">
        <v>150</v>
      </c>
      <c r="D26" s="42">
        <v>180</v>
      </c>
      <c r="E26" s="39">
        <v>4.58</v>
      </c>
      <c r="F26" s="42">
        <v>5.48</v>
      </c>
      <c r="G26" s="39">
        <v>4.08</v>
      </c>
      <c r="H26" s="41">
        <v>4.88</v>
      </c>
      <c r="I26" s="37">
        <v>7.58</v>
      </c>
      <c r="J26" s="42">
        <v>9.07</v>
      </c>
      <c r="K26" s="37">
        <f t="shared" ref="K26:K27" si="10">E26*4+G26*9+I26*4</f>
        <v>85.36</v>
      </c>
      <c r="L26" s="41">
        <f t="shared" ref="L26:L27" si="11">F26*4+H26*9+J26*4</f>
        <v>102.12</v>
      </c>
      <c r="M26" s="37">
        <v>2.0499999999999998</v>
      </c>
      <c r="N26" s="41">
        <v>2.46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>
        <v>248</v>
      </c>
      <c r="B27" s="19" t="s">
        <v>79</v>
      </c>
      <c r="C27" s="39">
        <v>100</v>
      </c>
      <c r="D27" s="42">
        <v>100</v>
      </c>
      <c r="E27" s="37">
        <v>0.4</v>
      </c>
      <c r="F27" s="41">
        <v>0.4</v>
      </c>
      <c r="G27" s="37">
        <v>0.4</v>
      </c>
      <c r="H27" s="41">
        <v>0.4</v>
      </c>
      <c r="I27" s="37">
        <v>9.8000000000000007</v>
      </c>
      <c r="J27" s="41">
        <v>9.8000000000000007</v>
      </c>
      <c r="K27" s="37">
        <f t="shared" si="10"/>
        <v>44.400000000000006</v>
      </c>
      <c r="L27" s="41">
        <f t="shared" si="11"/>
        <v>44.400000000000006</v>
      </c>
      <c r="M27" s="37">
        <v>10</v>
      </c>
      <c r="N27" s="41">
        <v>10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/>
      <c r="B28" s="27" t="s">
        <v>80</v>
      </c>
      <c r="C28" s="130">
        <f>SUM(C25:C27)</f>
        <v>330</v>
      </c>
      <c r="D28" s="33">
        <f>SUM(D25:D27)</f>
        <v>390</v>
      </c>
      <c r="E28" s="31">
        <f t="shared" ref="E28:N28" si="12">SUM(E25:E27)</f>
        <v>8.9700000000000006</v>
      </c>
      <c r="F28" s="40">
        <f t="shared" si="12"/>
        <v>10.83</v>
      </c>
      <c r="G28" s="130">
        <f t="shared" si="12"/>
        <v>6.76</v>
      </c>
      <c r="H28" s="33">
        <f t="shared" si="12"/>
        <v>8.09</v>
      </c>
      <c r="I28" s="130">
        <f t="shared" si="12"/>
        <v>39.629999999999995</v>
      </c>
      <c r="J28" s="33">
        <f t="shared" si="12"/>
        <v>54.370000000000005</v>
      </c>
      <c r="K28" s="130">
        <f t="shared" si="12"/>
        <v>256.76</v>
      </c>
      <c r="L28" s="40">
        <f t="shared" si="12"/>
        <v>333.52</v>
      </c>
      <c r="M28" s="130">
        <f t="shared" si="12"/>
        <v>14.54</v>
      </c>
      <c r="N28" s="40">
        <f t="shared" si="12"/>
        <v>15.61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265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7"/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6" x14ac:dyDescent="0.25">
      <c r="A30" s="26"/>
      <c r="B30" s="106" t="s">
        <v>59</v>
      </c>
      <c r="C30" s="105"/>
      <c r="D30" s="105"/>
      <c r="E30" s="31">
        <f>E11+E14+E23+E28</f>
        <v>46.962999999999994</v>
      </c>
      <c r="F30" s="40">
        <f t="shared" ref="F30:N30" si="13">F11+F14+F23+F28</f>
        <v>54.263999999999996</v>
      </c>
      <c r="G30" s="31">
        <f t="shared" si="13"/>
        <v>41.762999999999998</v>
      </c>
      <c r="H30" s="40">
        <f t="shared" si="13"/>
        <v>52.045000000000002</v>
      </c>
      <c r="I30" s="31">
        <f t="shared" si="13"/>
        <v>176.96199999999999</v>
      </c>
      <c r="J30" s="40">
        <f t="shared" si="13"/>
        <v>218.04500000000002</v>
      </c>
      <c r="K30" s="31">
        <f t="shared" si="13"/>
        <v>1279.9670000000001</v>
      </c>
      <c r="L30" s="40">
        <f t="shared" si="13"/>
        <v>1567.5709999999999</v>
      </c>
      <c r="M30" s="31">
        <f t="shared" si="13"/>
        <v>26.004999999999999</v>
      </c>
      <c r="N30" s="40">
        <f t="shared" si="13"/>
        <v>31.42</v>
      </c>
      <c r="O30" s="5"/>
      <c r="P30" s="132"/>
      <c r="V30" s="133"/>
    </row>
    <row r="31" spans="1:26" x14ac:dyDescent="0.25">
      <c r="A31" s="58"/>
      <c r="B31" s="59" t="s">
        <v>174</v>
      </c>
      <c r="C31" s="60"/>
      <c r="D31" s="60"/>
      <c r="E31" s="110" t="s">
        <v>165</v>
      </c>
      <c r="F31" s="110" t="s">
        <v>166</v>
      </c>
      <c r="G31" s="110" t="s">
        <v>167</v>
      </c>
      <c r="H31" s="110" t="s">
        <v>168</v>
      </c>
      <c r="I31" s="110" t="s">
        <v>169</v>
      </c>
      <c r="J31" s="110" t="s">
        <v>170</v>
      </c>
      <c r="K31" s="110" t="s">
        <v>171</v>
      </c>
      <c r="L31" s="110" t="s">
        <v>172</v>
      </c>
      <c r="M31" s="110" t="s">
        <v>188</v>
      </c>
      <c r="N31" s="110" t="s">
        <v>189</v>
      </c>
      <c r="P31" s="132"/>
      <c r="V31" s="67"/>
    </row>
    <row r="32" spans="1:26" x14ac:dyDescent="0.25">
      <c r="A32" s="120"/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P32" s="126"/>
      <c r="V32" s="111"/>
    </row>
    <row r="33" spans="1:22" x14ac:dyDescent="0.25">
      <c r="A33" s="53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P33" s="126"/>
      <c r="V33" s="111"/>
    </row>
    <row r="34" spans="1:22" x14ac:dyDescent="0.25">
      <c r="A34" s="5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P34" s="126"/>
      <c r="V34" s="111"/>
    </row>
    <row r="35" spans="1:22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7"/>
      <c r="V35" s="128"/>
    </row>
    <row r="36" spans="1:22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5"/>
      <c r="V36" s="5"/>
    </row>
    <row r="37" spans="1:22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22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2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2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2" x14ac:dyDescent="0.25">
      <c r="A41" s="66"/>
      <c r="B41" s="66"/>
      <c r="C41" s="66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2" x14ac:dyDescent="0.25">
      <c r="A42" s="5"/>
      <c r="B42" s="5"/>
      <c r="C42" s="67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"/>
    </row>
    <row r="43" spans="1:22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2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2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2" x14ac:dyDescent="0.25">
      <c r="A46" s="5"/>
      <c r="B46" s="5"/>
      <c r="C46" s="67"/>
      <c r="D46" s="5"/>
      <c r="I46" s="28"/>
      <c r="J46" s="28"/>
      <c r="K46" s="28"/>
      <c r="L46" s="28"/>
      <c r="M46" s="28"/>
      <c r="N46" s="28"/>
    </row>
    <row r="47" spans="1:22" x14ac:dyDescent="0.25">
      <c r="A47" s="5"/>
      <c r="B47" s="5"/>
      <c r="C47" s="67"/>
      <c r="D47" s="5"/>
    </row>
    <row r="48" spans="1:22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A29:N29"/>
    <mergeCell ref="A12:N12"/>
    <mergeCell ref="A15:N15"/>
    <mergeCell ref="A24:N24"/>
    <mergeCell ref="K3:L4"/>
    <mergeCell ref="M3:N4"/>
    <mergeCell ref="E4:F4"/>
    <mergeCell ref="G4:H4"/>
    <mergeCell ref="I4:J4"/>
    <mergeCell ref="A6:N6"/>
  </mergeCells>
  <pageMargins left="0.32291666666666669" right="0.7" top="0.29166666666666669" bottom="0.44791666666666669" header="0.3" footer="0.3"/>
  <pageSetup paperSize="9" orientation="landscape" horizontalDpi="4294967293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13" zoomScaleNormal="100" workbookViewId="0">
      <selection activeCell="O27" sqref="O27"/>
    </sheetView>
  </sheetViews>
  <sheetFormatPr defaultRowHeight="15" x14ac:dyDescent="0.25"/>
  <cols>
    <col min="1" max="1" width="4.28515625" style="104" customWidth="1"/>
    <col min="2" max="2" width="39.7109375" style="104" customWidth="1"/>
    <col min="3" max="3" width="7.28515625" style="104" customWidth="1"/>
    <col min="4" max="4" width="6.5703125" style="104" customWidth="1"/>
    <col min="5" max="5" width="6.7109375" style="104" customWidth="1"/>
    <col min="6" max="6" width="6.85546875" style="104" customWidth="1"/>
    <col min="7" max="7" width="6.42578125" style="104" customWidth="1"/>
    <col min="8" max="8" width="6.5703125" style="104" customWidth="1"/>
    <col min="9" max="9" width="7.5703125" style="104" customWidth="1"/>
    <col min="10" max="10" width="8.28515625" style="104" customWidth="1"/>
    <col min="11" max="11" width="9.42578125" style="104" customWidth="1"/>
    <col min="12" max="12" width="9.7109375" style="104" customWidth="1"/>
    <col min="13" max="13" width="6.5703125" style="104" customWidth="1"/>
    <col min="14" max="14" width="7.28515625" style="104" customWidth="1"/>
    <col min="15" max="15" width="20.7109375" style="104" customWidth="1"/>
    <col min="16" max="16" width="7.28515625" style="104" customWidth="1"/>
    <col min="17" max="20" width="9.140625" style="104"/>
    <col min="21" max="21" width="19.7109375" style="104" customWidth="1"/>
    <col min="22" max="22" width="7.7109375" style="104" customWidth="1"/>
    <col min="23" max="23" width="9.140625" style="104"/>
    <col min="24" max="24" width="7.7109375" style="104" customWidth="1"/>
    <col min="25" max="16384" width="9.140625" style="104"/>
  </cols>
  <sheetData>
    <row r="1" spans="1:26" ht="15.75" x14ac:dyDescent="0.25">
      <c r="A1" s="243" t="s">
        <v>46</v>
      </c>
      <c r="B1" s="243"/>
      <c r="C1" s="243" t="s">
        <v>160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154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107</v>
      </c>
      <c r="B7" s="18" t="s">
        <v>155</v>
      </c>
      <c r="C7" s="39">
        <v>160</v>
      </c>
      <c r="D7" s="45">
        <v>180</v>
      </c>
      <c r="E7" s="37">
        <f>C7*4.66/150</f>
        <v>4.9706666666666672</v>
      </c>
      <c r="F7" s="41">
        <f>D7*4.66/150</f>
        <v>5.5920000000000005</v>
      </c>
      <c r="G7" s="37">
        <f>C7*5.79/150</f>
        <v>6.1760000000000002</v>
      </c>
      <c r="H7" s="41">
        <f>D7*5.79/150</f>
        <v>6.9480000000000004</v>
      </c>
      <c r="I7" s="37">
        <f>C7*20.78/150</f>
        <v>22.165333333333333</v>
      </c>
      <c r="J7" s="41">
        <f>D7*20.78/150</f>
        <v>24.936</v>
      </c>
      <c r="K7" s="37">
        <f t="shared" ref="K7:L11" si="0">E7*4+G7*9+I7*4</f>
        <v>164.12799999999999</v>
      </c>
      <c r="L7" s="41">
        <f t="shared" si="0"/>
        <v>184.64400000000001</v>
      </c>
      <c r="M7" s="37">
        <f>C7*1.46/150</f>
        <v>1.5573333333333332</v>
      </c>
      <c r="N7" s="41">
        <f>D7*1.46/150</f>
        <v>1.752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6</v>
      </c>
      <c r="B9" s="18" t="s">
        <v>86</v>
      </c>
      <c r="C9" s="39">
        <v>10</v>
      </c>
      <c r="D9" s="47">
        <v>10</v>
      </c>
      <c r="E9" s="39">
        <v>2.63</v>
      </c>
      <c r="F9" s="42">
        <v>2.63</v>
      </c>
      <c r="G9" s="37">
        <v>2.66</v>
      </c>
      <c r="H9" s="42">
        <v>2.66</v>
      </c>
      <c r="I9" s="49">
        <v>0</v>
      </c>
      <c r="J9" s="44">
        <v>0</v>
      </c>
      <c r="K9" s="39">
        <f t="shared" si="0"/>
        <v>34.46</v>
      </c>
      <c r="L9" s="42">
        <f t="shared" si="0"/>
        <v>34.46</v>
      </c>
      <c r="M9" s="69">
        <v>7.0000000000000007E-2</v>
      </c>
      <c r="N9" s="41">
        <v>7.0000000000000007E-2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266</v>
      </c>
      <c r="B10" s="19" t="s">
        <v>33</v>
      </c>
      <c r="C10" s="39">
        <v>150</v>
      </c>
      <c r="D10" s="45">
        <v>180</v>
      </c>
      <c r="E10" s="37">
        <v>3.15</v>
      </c>
      <c r="F10" s="41">
        <v>3.67</v>
      </c>
      <c r="G10" s="37">
        <v>2.72</v>
      </c>
      <c r="H10" s="41">
        <v>3.19</v>
      </c>
      <c r="I10" s="39">
        <v>12.96</v>
      </c>
      <c r="J10" s="41">
        <v>15.82</v>
      </c>
      <c r="K10" s="39">
        <f t="shared" si="0"/>
        <v>88.92</v>
      </c>
      <c r="L10" s="42">
        <f t="shared" si="0"/>
        <v>106.67</v>
      </c>
      <c r="M10" s="69">
        <v>1.2</v>
      </c>
      <c r="N10" s="41">
        <v>1.43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350</v>
      </c>
      <c r="D11" s="48">
        <f>SUM(D7:D10)</f>
        <v>410</v>
      </c>
      <c r="E11" s="31">
        <f t="shared" ref="E11:N11" si="1">SUM(E7:E10)</f>
        <v>13.000666666666667</v>
      </c>
      <c r="F11" s="40">
        <f t="shared" si="1"/>
        <v>14.892000000000001</v>
      </c>
      <c r="G11" s="31">
        <f t="shared" si="1"/>
        <v>12.426</v>
      </c>
      <c r="H11" s="40">
        <f t="shared" si="1"/>
        <v>13.958</v>
      </c>
      <c r="I11" s="31">
        <f t="shared" si="1"/>
        <v>50.545333333333332</v>
      </c>
      <c r="J11" s="40">
        <f t="shared" si="1"/>
        <v>61.315999999999995</v>
      </c>
      <c r="K11" s="31">
        <f t="shared" si="0"/>
        <v>366.01800000000003</v>
      </c>
      <c r="L11" s="40">
        <f t="shared" si="0"/>
        <v>430.45399999999995</v>
      </c>
      <c r="M11" s="31">
        <f t="shared" si="1"/>
        <v>2.8273333333333333</v>
      </c>
      <c r="N11" s="40">
        <f t="shared" si="1"/>
        <v>3.2519999999999998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268</v>
      </c>
      <c r="B13" s="19" t="s">
        <v>44</v>
      </c>
      <c r="C13" s="39">
        <v>150</v>
      </c>
      <c r="D13" s="51">
        <v>180</v>
      </c>
      <c r="E13" s="49">
        <v>0</v>
      </c>
      <c r="F13" s="44">
        <v>0</v>
      </c>
      <c r="G13" s="49">
        <v>0</v>
      </c>
      <c r="H13" s="44">
        <v>0</v>
      </c>
      <c r="I13" s="39">
        <f>C13*15.9/100</f>
        <v>23.85</v>
      </c>
      <c r="J13" s="42">
        <f>D13*15.9/100</f>
        <v>28.62</v>
      </c>
      <c r="K13" s="39">
        <f t="shared" ref="K13:L13" si="2">E13*4+G13*9+I13*4</f>
        <v>95.4</v>
      </c>
      <c r="L13" s="42">
        <f t="shared" si="2"/>
        <v>114.48</v>
      </c>
      <c r="M13" s="49">
        <v>3</v>
      </c>
      <c r="N13" s="42"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3">SUM(E13)</f>
        <v>0</v>
      </c>
      <c r="F14" s="40">
        <f t="shared" si="3"/>
        <v>0</v>
      </c>
      <c r="G14" s="31">
        <f t="shared" si="3"/>
        <v>0</v>
      </c>
      <c r="H14" s="40">
        <f t="shared" si="3"/>
        <v>0</v>
      </c>
      <c r="I14" s="31">
        <f>SUM(I13)</f>
        <v>23.85</v>
      </c>
      <c r="J14" s="33">
        <f t="shared" ref="J14:N14" si="4">SUM(J13)</f>
        <v>28.62</v>
      </c>
      <c r="K14" s="130">
        <f t="shared" ref="K14:L14" si="5">E14*4+G14*9+I14*4</f>
        <v>95.4</v>
      </c>
      <c r="L14" s="33">
        <f t="shared" si="5"/>
        <v>114.48</v>
      </c>
      <c r="M14" s="31">
        <f t="shared" si="4"/>
        <v>3</v>
      </c>
      <c r="N14" s="33">
        <f t="shared" si="4"/>
        <v>3.6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37</v>
      </c>
      <c r="B16" s="140" t="s">
        <v>213</v>
      </c>
      <c r="C16" s="39">
        <v>40</v>
      </c>
      <c r="D16" s="51">
        <v>60</v>
      </c>
      <c r="E16" s="37">
        <v>1.8</v>
      </c>
      <c r="F16" s="41">
        <v>2.71</v>
      </c>
      <c r="G16" s="37">
        <v>3.14</v>
      </c>
      <c r="H16" s="41">
        <v>4.71</v>
      </c>
      <c r="I16" s="37">
        <v>2.9</v>
      </c>
      <c r="J16" s="42">
        <v>4.3499999999999996</v>
      </c>
      <c r="K16" s="37">
        <v>47.2</v>
      </c>
      <c r="L16" s="41">
        <v>70.8</v>
      </c>
      <c r="M16" s="37">
        <v>2.2799999999999998</v>
      </c>
      <c r="N16" s="41">
        <v>3.42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17">
        <v>63</v>
      </c>
      <c r="B17" s="19" t="s">
        <v>156</v>
      </c>
      <c r="C17" s="39">
        <v>150</v>
      </c>
      <c r="D17" s="51">
        <v>200</v>
      </c>
      <c r="E17" s="37">
        <f>C17*2.3/100</f>
        <v>3.45</v>
      </c>
      <c r="F17" s="41">
        <f>D17*2.3/100</f>
        <v>4.5999999999999996</v>
      </c>
      <c r="G17" s="37">
        <f>C17*1.6/100</f>
        <v>2.4</v>
      </c>
      <c r="H17" s="41">
        <f>D17*1.6/100</f>
        <v>3.2</v>
      </c>
      <c r="I17" s="39">
        <f>C17*4.9/100</f>
        <v>7.35</v>
      </c>
      <c r="J17" s="41">
        <f>D17*4.9/100</f>
        <v>9.8000000000000007</v>
      </c>
      <c r="K17" s="37">
        <f t="shared" ref="K17:L21" si="6">E17*4+G17*9+I17*4</f>
        <v>64.8</v>
      </c>
      <c r="L17" s="41">
        <f t="shared" si="6"/>
        <v>86.4</v>
      </c>
      <c r="M17" s="37">
        <f>C17*4.8/100</f>
        <v>7.2</v>
      </c>
      <c r="N17" s="41">
        <f>D17*4.8/100</f>
        <v>9.6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54"/>
      <c r="B18" s="55" t="s">
        <v>157</v>
      </c>
      <c r="C18" s="39">
        <v>20</v>
      </c>
      <c r="D18" s="42">
        <v>24</v>
      </c>
      <c r="E18" s="39">
        <f>C18*13.56/60</f>
        <v>4.5199999999999996</v>
      </c>
      <c r="F18" s="41">
        <f>D18*18.08/80</f>
        <v>5.4239999999999995</v>
      </c>
      <c r="G18" s="39">
        <f>C18*10.2/60</f>
        <v>3.4</v>
      </c>
      <c r="H18" s="42">
        <f>D18*13.6/80</f>
        <v>4.08</v>
      </c>
      <c r="I18" s="49">
        <v>0</v>
      </c>
      <c r="J18" s="44">
        <v>0</v>
      </c>
      <c r="K18" s="37">
        <f t="shared" si="6"/>
        <v>48.679999999999993</v>
      </c>
      <c r="L18" s="41">
        <f t="shared" si="6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>
        <v>175</v>
      </c>
      <c r="B19" s="109" t="s">
        <v>158</v>
      </c>
      <c r="C19" s="39">
        <v>170</v>
      </c>
      <c r="D19" s="42">
        <v>220</v>
      </c>
      <c r="E19" s="39">
        <v>16.2</v>
      </c>
      <c r="F19" s="42">
        <v>21.71</v>
      </c>
      <c r="G19" s="39">
        <v>13.28</v>
      </c>
      <c r="H19" s="42">
        <v>16.55</v>
      </c>
      <c r="I19" s="39">
        <v>11.03</v>
      </c>
      <c r="J19" s="42">
        <v>15.02</v>
      </c>
      <c r="K19" s="37">
        <v>228</v>
      </c>
      <c r="L19" s="41">
        <v>296</v>
      </c>
      <c r="M19" s="39">
        <v>3.71</v>
      </c>
      <c r="N19" s="42">
        <v>5.2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175</v>
      </c>
      <c r="B20" s="19" t="s">
        <v>135</v>
      </c>
      <c r="C20" s="39">
        <v>180</v>
      </c>
      <c r="D20" s="42">
        <v>200</v>
      </c>
      <c r="E20" s="37">
        <f>C20*16.2/170</f>
        <v>17.152941176470588</v>
      </c>
      <c r="F20" s="41">
        <f>D20*16.2/170</f>
        <v>19.058823529411764</v>
      </c>
      <c r="G20" s="39">
        <f>C20*13.28/170</f>
        <v>14.061176470588236</v>
      </c>
      <c r="H20" s="41">
        <f>D20*13.28/170</f>
        <v>15.623529411764705</v>
      </c>
      <c r="I20" s="37">
        <f>C20*11.03/170</f>
        <v>11.678823529411764</v>
      </c>
      <c r="J20" s="41">
        <f>D20*11.03/170</f>
        <v>12.976470588235294</v>
      </c>
      <c r="K20" s="37">
        <f t="shared" si="6"/>
        <v>241.87764705882356</v>
      </c>
      <c r="L20" s="41">
        <f t="shared" si="6"/>
        <v>268.75294117647059</v>
      </c>
      <c r="M20" s="37">
        <f>C20*3.71/170</f>
        <v>3.9282352941176466</v>
      </c>
      <c r="N20" s="41">
        <f>D20*3.71/170</f>
        <v>4.3647058823529408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253</v>
      </c>
      <c r="B21" s="19" t="s">
        <v>58</v>
      </c>
      <c r="C21" s="39">
        <v>40</v>
      </c>
      <c r="D21" s="42">
        <v>50</v>
      </c>
      <c r="E21" s="39">
        <v>3.17</v>
      </c>
      <c r="F21" s="41">
        <v>3.96</v>
      </c>
      <c r="G21" s="39">
        <v>0.53</v>
      </c>
      <c r="H21" s="42">
        <v>0.66</v>
      </c>
      <c r="I21" s="37">
        <v>21.071999999999999</v>
      </c>
      <c r="J21" s="41">
        <v>26.34</v>
      </c>
      <c r="K21" s="37">
        <f t="shared" si="6"/>
        <v>101.738</v>
      </c>
      <c r="L21" s="41">
        <f t="shared" si="6"/>
        <v>127.14</v>
      </c>
      <c r="M21" s="37">
        <f>C21*0.2/100</f>
        <v>0.08</v>
      </c>
      <c r="N21" s="42">
        <f>D21*0.2/100</f>
        <v>0.1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/>
      <c r="B22" s="146" t="s">
        <v>236</v>
      </c>
      <c r="C22" s="130">
        <f t="shared" ref="C22:N22" si="7">SUM(C16:C21)</f>
        <v>600</v>
      </c>
      <c r="D22" s="33">
        <f t="shared" si="7"/>
        <v>754</v>
      </c>
      <c r="E22" s="31">
        <f t="shared" si="7"/>
        <v>46.292941176470592</v>
      </c>
      <c r="F22" s="33">
        <f t="shared" si="7"/>
        <v>57.462823529411772</v>
      </c>
      <c r="G22" s="31">
        <f t="shared" si="7"/>
        <v>36.811176470588236</v>
      </c>
      <c r="H22" s="40">
        <f t="shared" si="7"/>
        <v>44.823529411764703</v>
      </c>
      <c r="I22" s="31">
        <f t="shared" si="7"/>
        <v>54.030823529411762</v>
      </c>
      <c r="J22" s="33">
        <f t="shared" si="7"/>
        <v>68.486470588235292</v>
      </c>
      <c r="K22" s="31">
        <f t="shared" si="7"/>
        <v>732.29564705882353</v>
      </c>
      <c r="L22" s="40">
        <f t="shared" si="7"/>
        <v>907.50894117647056</v>
      </c>
      <c r="M22" s="31">
        <f t="shared" si="7"/>
        <v>17.198235294117644</v>
      </c>
      <c r="N22" s="33">
        <f t="shared" si="7"/>
        <v>22.68470588235294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s="113" customFormat="1" x14ac:dyDescent="0.25">
      <c r="A23" s="148"/>
      <c r="B23" s="146"/>
      <c r="C23" s="151"/>
      <c r="D23" s="152"/>
      <c r="E23" s="153"/>
      <c r="F23" s="152"/>
      <c r="G23" s="153"/>
      <c r="H23" s="154"/>
      <c r="I23" s="153"/>
      <c r="J23" s="152"/>
      <c r="K23" s="153"/>
      <c r="L23" s="154"/>
      <c r="M23" s="153"/>
      <c r="N23" s="155"/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s="113" customFormat="1" x14ac:dyDescent="0.25">
      <c r="A24" s="148"/>
      <c r="B24" s="146"/>
      <c r="C24" s="151"/>
      <c r="D24" s="152"/>
      <c r="E24" s="153"/>
      <c r="F24" s="152"/>
      <c r="G24" s="153"/>
      <c r="H24" s="154"/>
      <c r="I24" s="153"/>
      <c r="J24" s="152"/>
      <c r="K24" s="153"/>
      <c r="L24" s="154"/>
      <c r="M24" s="153"/>
      <c r="N24" s="155"/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145" t="s">
        <v>232</v>
      </c>
      <c r="B25" s="19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7"/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159</v>
      </c>
      <c r="B26" s="19" t="s">
        <v>233</v>
      </c>
      <c r="C26" s="39">
        <v>60</v>
      </c>
      <c r="D26" s="42">
        <v>80</v>
      </c>
      <c r="E26" s="37">
        <f>C26*9.81/60</f>
        <v>9.81</v>
      </c>
      <c r="F26" s="41">
        <f>D26*14.17/80</f>
        <v>14.169999999999998</v>
      </c>
      <c r="G26" s="37">
        <f>C26*3.15/60</f>
        <v>3.15</v>
      </c>
      <c r="H26" s="41">
        <f>D26*3.86/80</f>
        <v>3.8600000000000003</v>
      </c>
      <c r="I26" s="39">
        <f>C26*1.75/60</f>
        <v>1.75</v>
      </c>
      <c r="J26" s="41">
        <f>D26*2.57/80</f>
        <v>2.57</v>
      </c>
      <c r="K26" s="37">
        <f t="shared" ref="K26:L28" si="8">E26*4+G26*9+I26*4</f>
        <v>74.59</v>
      </c>
      <c r="L26" s="41">
        <f t="shared" si="8"/>
        <v>101.69999999999999</v>
      </c>
      <c r="M26" s="37">
        <f>C26*0.13/60</f>
        <v>0.13</v>
      </c>
      <c r="N26" s="42">
        <f>D26*0.82/80</f>
        <v>0.82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>
        <v>267</v>
      </c>
      <c r="B27" s="19" t="s">
        <v>101</v>
      </c>
      <c r="C27" s="39">
        <v>150</v>
      </c>
      <c r="D27" s="42">
        <v>180</v>
      </c>
      <c r="E27" s="37">
        <v>0.51</v>
      </c>
      <c r="F27" s="41">
        <v>0.61</v>
      </c>
      <c r="G27" s="37">
        <v>0.21</v>
      </c>
      <c r="H27" s="41">
        <v>0.25</v>
      </c>
      <c r="I27" s="37">
        <v>61</v>
      </c>
      <c r="J27" s="41">
        <v>79</v>
      </c>
      <c r="K27" s="37">
        <v>61</v>
      </c>
      <c r="L27" s="41">
        <v>79</v>
      </c>
      <c r="M27" s="49">
        <v>0</v>
      </c>
      <c r="N27" s="44">
        <v>75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>
        <v>267</v>
      </c>
      <c r="B28" s="19" t="s">
        <v>79</v>
      </c>
      <c r="C28" s="39">
        <v>100</v>
      </c>
      <c r="D28" s="42">
        <v>100</v>
      </c>
      <c r="E28" s="39">
        <v>0.4</v>
      </c>
      <c r="F28" s="42">
        <v>0.4</v>
      </c>
      <c r="G28" s="39">
        <v>0.4</v>
      </c>
      <c r="H28" s="41">
        <v>0.4</v>
      </c>
      <c r="I28" s="37">
        <v>9.8000000000000007</v>
      </c>
      <c r="J28" s="42">
        <v>9.8000000000000007</v>
      </c>
      <c r="K28" s="37">
        <f t="shared" si="8"/>
        <v>44.400000000000006</v>
      </c>
      <c r="L28" s="41">
        <f t="shared" si="8"/>
        <v>44.400000000000006</v>
      </c>
      <c r="M28" s="49">
        <v>75</v>
      </c>
      <c r="N28" s="44">
        <v>90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17">
        <v>253</v>
      </c>
      <c r="B29" s="27" t="s">
        <v>237</v>
      </c>
      <c r="C29" s="39">
        <v>40</v>
      </c>
      <c r="D29" s="42">
        <v>50</v>
      </c>
      <c r="E29" s="37">
        <v>3.17</v>
      </c>
      <c r="F29" s="41">
        <v>3.95</v>
      </c>
      <c r="G29" s="37">
        <v>0.53</v>
      </c>
      <c r="H29" s="41">
        <v>0.66</v>
      </c>
      <c r="I29" s="37">
        <v>21.07</v>
      </c>
      <c r="J29" s="41">
        <v>26.94</v>
      </c>
      <c r="K29" s="37">
        <v>101.74</v>
      </c>
      <c r="L29" s="41">
        <v>127.14</v>
      </c>
      <c r="M29" s="37">
        <v>0.08</v>
      </c>
      <c r="N29" s="41">
        <v>0.1</v>
      </c>
      <c r="O29" s="5"/>
      <c r="P29" s="67"/>
      <c r="Q29" s="111"/>
      <c r="R29" s="111"/>
      <c r="S29" s="111"/>
      <c r="T29" s="111"/>
      <c r="U29" s="5"/>
      <c r="V29" s="67"/>
      <c r="W29" s="111"/>
      <c r="X29" s="111"/>
      <c r="Y29" s="111"/>
      <c r="Z29" s="111"/>
    </row>
    <row r="30" spans="1:26" x14ac:dyDescent="0.25">
      <c r="A30" s="17"/>
      <c r="B30" s="149"/>
      <c r="C30" s="130"/>
      <c r="D30" s="33"/>
      <c r="E30" s="31"/>
      <c r="F30" s="40"/>
      <c r="G30" s="31"/>
      <c r="H30" s="40"/>
      <c r="I30" s="130"/>
      <c r="J30" s="40"/>
      <c r="K30" s="130"/>
      <c r="L30" s="33"/>
      <c r="M30" s="130"/>
      <c r="N30" s="33"/>
      <c r="O30" s="66"/>
      <c r="P30" s="131"/>
      <c r="Q30" s="111"/>
      <c r="R30" s="111"/>
      <c r="S30" s="111"/>
      <c r="T30" s="111"/>
      <c r="U30" s="66"/>
      <c r="V30" s="67"/>
      <c r="W30" s="111"/>
      <c r="X30" s="111"/>
      <c r="Y30" s="111"/>
      <c r="Z30" s="111"/>
    </row>
    <row r="31" spans="1:26" x14ac:dyDescent="0.25">
      <c r="A31" s="148"/>
      <c r="B31" s="59" t="s">
        <v>59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66"/>
      <c r="P31" s="131"/>
      <c r="Q31" s="111"/>
      <c r="R31" s="111"/>
      <c r="S31" s="111"/>
      <c r="T31" s="111"/>
      <c r="U31" s="66"/>
      <c r="V31" s="67"/>
      <c r="W31" s="111"/>
      <c r="X31" s="111"/>
      <c r="Y31" s="111"/>
      <c r="Z31" s="111"/>
    </row>
    <row r="32" spans="1:26" x14ac:dyDescent="0.25">
      <c r="A32" s="26"/>
      <c r="B32" s="106" t="s">
        <v>174</v>
      </c>
      <c r="C32" s="60"/>
      <c r="D32" s="60"/>
      <c r="E32" s="62">
        <f t="shared" ref="E32:N32" si="9">E11+E14+E22+E30</f>
        <v>59.293607843137259</v>
      </c>
      <c r="F32" s="63">
        <f t="shared" si="9"/>
        <v>72.354823529411775</v>
      </c>
      <c r="G32" s="62">
        <f t="shared" si="9"/>
        <v>49.237176470588238</v>
      </c>
      <c r="H32" s="63">
        <f t="shared" si="9"/>
        <v>58.781529411764701</v>
      </c>
      <c r="I32" s="62">
        <f t="shared" si="9"/>
        <v>128.42615686274507</v>
      </c>
      <c r="J32" s="63">
        <f t="shared" si="9"/>
        <v>158.42247058823529</v>
      </c>
      <c r="K32" s="62">
        <f t="shared" si="9"/>
        <v>1193.7136470588234</v>
      </c>
      <c r="L32" s="63">
        <f t="shared" si="9"/>
        <v>1452.4429411764704</v>
      </c>
      <c r="M32" s="62">
        <f t="shared" si="9"/>
        <v>23.02556862745098</v>
      </c>
      <c r="N32" s="63">
        <f t="shared" si="9"/>
        <v>29.53670588235294</v>
      </c>
      <c r="P32" s="132"/>
      <c r="V32" s="133"/>
    </row>
    <row r="33" spans="1:22" x14ac:dyDescent="0.25">
      <c r="A33" s="17"/>
      <c r="B33" s="61"/>
      <c r="C33" s="105"/>
      <c r="D33" s="105"/>
      <c r="E33" s="108" t="s">
        <v>165</v>
      </c>
      <c r="F33" s="108" t="s">
        <v>166</v>
      </c>
      <c r="G33" s="108" t="s">
        <v>167</v>
      </c>
      <c r="H33" s="108" t="s">
        <v>168</v>
      </c>
      <c r="I33" s="108" t="s">
        <v>169</v>
      </c>
      <c r="J33" s="108" t="s">
        <v>170</v>
      </c>
      <c r="K33" s="108" t="s">
        <v>171</v>
      </c>
      <c r="L33" s="108" t="s">
        <v>172</v>
      </c>
      <c r="M33" s="108" t="s">
        <v>188</v>
      </c>
      <c r="N33" s="108" t="s">
        <v>189</v>
      </c>
      <c r="P33" s="126"/>
      <c r="V33" s="111"/>
    </row>
    <row r="34" spans="1:22" x14ac:dyDescent="0.25">
      <c r="A34" s="5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P34" s="126"/>
      <c r="V34" s="111"/>
    </row>
    <row r="35" spans="1:22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6"/>
      <c r="V35" s="111"/>
    </row>
    <row r="36" spans="1:22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127"/>
      <c r="V36" s="128"/>
    </row>
    <row r="37" spans="1:22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P37" s="5"/>
      <c r="V37" s="5"/>
    </row>
    <row r="38" spans="1:22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2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2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2" x14ac:dyDescent="0.25">
      <c r="A41" s="53"/>
      <c r="B41" s="66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2" x14ac:dyDescent="0.25">
      <c r="A42" s="66"/>
      <c r="B42" s="5"/>
      <c r="C42" s="6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22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2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2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2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22" x14ac:dyDescent="0.25">
      <c r="A47" s="5"/>
      <c r="B47" s="5"/>
      <c r="C47" s="67"/>
      <c r="D47" s="5"/>
      <c r="I47" s="28"/>
      <c r="J47" s="28"/>
      <c r="K47" s="28"/>
      <c r="L47" s="28"/>
      <c r="M47" s="28"/>
      <c r="N47" s="28"/>
    </row>
    <row r="48" spans="1:22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C73" s="5"/>
    </row>
  </sheetData>
  <mergeCells count="16">
    <mergeCell ref="A1:B1"/>
    <mergeCell ref="C1:H1"/>
    <mergeCell ref="A2:B2"/>
    <mergeCell ref="C2:H2"/>
    <mergeCell ref="A3:A5"/>
    <mergeCell ref="B3:B5"/>
    <mergeCell ref="C3:D4"/>
    <mergeCell ref="E3:J3"/>
    <mergeCell ref="A12:N12"/>
    <mergeCell ref="A15:N15"/>
    <mergeCell ref="K3:L4"/>
    <mergeCell ref="M3:N4"/>
    <mergeCell ref="E4:F4"/>
    <mergeCell ref="G4:H4"/>
    <mergeCell ref="I4:J4"/>
    <mergeCell ref="A6:N6"/>
  </mergeCells>
  <pageMargins left="0.32291666666666669" right="0.7" top="0.30208333333333331" bottom="0.44791666666666669" header="0.3" footer="0.3"/>
  <pageSetup paperSize="9" orientation="landscape" horizontalDpi="4294967293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opLeftCell="A7" zoomScaleNormal="100" workbookViewId="0">
      <selection activeCell="N27" sqref="N27"/>
    </sheetView>
  </sheetViews>
  <sheetFormatPr defaultRowHeight="15" x14ac:dyDescent="0.25"/>
  <cols>
    <col min="1" max="1" width="4.28515625" style="112" customWidth="1"/>
    <col min="2" max="2" width="39.7109375" style="112" customWidth="1"/>
    <col min="3" max="3" width="7.28515625" style="112" customWidth="1"/>
    <col min="4" max="4" width="6.5703125" style="112" customWidth="1"/>
    <col min="5" max="5" width="6.7109375" style="112" customWidth="1"/>
    <col min="6" max="6" width="6.85546875" style="112" customWidth="1"/>
    <col min="7" max="7" width="6.42578125" style="112" customWidth="1"/>
    <col min="8" max="8" width="6.5703125" style="112" customWidth="1"/>
    <col min="9" max="9" width="7.42578125" style="112" customWidth="1"/>
    <col min="10" max="10" width="7.85546875" style="112" customWidth="1"/>
    <col min="11" max="11" width="9.140625" style="112" customWidth="1"/>
    <col min="12" max="12" width="9.42578125" style="112" customWidth="1"/>
    <col min="13" max="13" width="6.5703125" style="112" customWidth="1"/>
    <col min="14" max="14" width="7.28515625" style="112" customWidth="1"/>
    <col min="15" max="15" width="20.7109375" style="112" customWidth="1"/>
    <col min="16" max="16" width="7.28515625" style="112" customWidth="1"/>
    <col min="17" max="20" width="9.140625" style="112"/>
    <col min="21" max="21" width="19.7109375" style="112" customWidth="1"/>
    <col min="22" max="22" width="7.7109375" style="112" customWidth="1"/>
    <col min="23" max="23" width="9.140625" style="112"/>
    <col min="24" max="24" width="7.7109375" style="112" customWidth="1"/>
    <col min="25" max="16384" width="9.140625" style="112"/>
  </cols>
  <sheetData>
    <row r="1" spans="1:26" ht="15.75" x14ac:dyDescent="0.25">
      <c r="A1" s="243" t="s">
        <v>46</v>
      </c>
      <c r="B1" s="243"/>
      <c r="C1" s="243" t="s">
        <v>161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48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125</v>
      </c>
      <c r="B7" s="18" t="s">
        <v>162</v>
      </c>
      <c r="C7" s="39">
        <v>160</v>
      </c>
      <c r="D7" s="45">
        <v>180</v>
      </c>
      <c r="E7" s="37">
        <f>C7*9.29/150</f>
        <v>9.9093333333333327</v>
      </c>
      <c r="F7" s="41">
        <f>D7*9.29/150</f>
        <v>11.147999999999998</v>
      </c>
      <c r="G7" s="37">
        <f>C7*10.01/150</f>
        <v>10.677333333333333</v>
      </c>
      <c r="H7" s="41">
        <f>D7*10.01/150</f>
        <v>12.012</v>
      </c>
      <c r="I7" s="37">
        <f>C7*22.71/150</f>
        <v>24.224000000000004</v>
      </c>
      <c r="J7" s="41">
        <f>D7*22.71/150</f>
        <v>27.252000000000002</v>
      </c>
      <c r="K7" s="37">
        <f t="shared" ref="K7:L11" si="0">E7*4+G7*9+I7*4</f>
        <v>232.62933333333336</v>
      </c>
      <c r="L7" s="41">
        <f t="shared" si="0"/>
        <v>261.70799999999997</v>
      </c>
      <c r="M7" s="37">
        <f>C7*0.14/150</f>
        <v>0.14933333333333335</v>
      </c>
      <c r="N7" s="41">
        <f>D7*0.14/150</f>
        <v>0.16800000000000001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130</v>
      </c>
      <c r="B9" s="18" t="s">
        <v>134</v>
      </c>
      <c r="C9" s="39">
        <v>20</v>
      </c>
      <c r="D9" s="47">
        <v>20</v>
      </c>
      <c r="E9" s="39">
        <f>C9*5.1/40</f>
        <v>2.5499999999999998</v>
      </c>
      <c r="F9" s="42">
        <f>D9*5.1/40</f>
        <v>2.5499999999999998</v>
      </c>
      <c r="G9" s="37">
        <f>C9*4.6/40</f>
        <v>2.2999999999999998</v>
      </c>
      <c r="H9" s="41">
        <f>D9*4.6/40</f>
        <v>2.2999999999999998</v>
      </c>
      <c r="I9" s="39">
        <f>C9*0.3/40</f>
        <v>0.15</v>
      </c>
      <c r="J9" s="42">
        <f>D9*0.3/40</f>
        <v>0.15</v>
      </c>
      <c r="K9" s="39">
        <f t="shared" si="0"/>
        <v>31.5</v>
      </c>
      <c r="L9" s="42">
        <f t="shared" si="0"/>
        <v>31.5</v>
      </c>
      <c r="M9" s="43">
        <v>0</v>
      </c>
      <c r="N9" s="44">
        <v>0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261</v>
      </c>
      <c r="B10" s="19" t="s">
        <v>87</v>
      </c>
      <c r="C10" s="39">
        <v>150</v>
      </c>
      <c r="D10" s="42">
        <v>180</v>
      </c>
      <c r="E10" s="39">
        <v>0.04</v>
      </c>
      <c r="F10" s="42">
        <v>0.06</v>
      </c>
      <c r="G10" s="39">
        <v>0.01</v>
      </c>
      <c r="H10" s="41">
        <v>0.02</v>
      </c>
      <c r="I10" s="37">
        <v>6.99</v>
      </c>
      <c r="J10" s="42">
        <v>9.99</v>
      </c>
      <c r="K10" s="37">
        <f t="shared" si="0"/>
        <v>28.21</v>
      </c>
      <c r="L10" s="41">
        <f t="shared" si="0"/>
        <v>40.380000000000003</v>
      </c>
      <c r="M10" s="37">
        <v>0.02</v>
      </c>
      <c r="N10" s="41">
        <v>0.03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360</v>
      </c>
      <c r="D11" s="48">
        <f>SUM(D7:D10)</f>
        <v>420</v>
      </c>
      <c r="E11" s="31">
        <f t="shared" ref="E11:N11" si="1">SUM(E7:E10)</f>
        <v>14.749333333333333</v>
      </c>
      <c r="F11" s="40">
        <f t="shared" si="1"/>
        <v>16.757999999999996</v>
      </c>
      <c r="G11" s="31">
        <f t="shared" si="1"/>
        <v>13.857333333333331</v>
      </c>
      <c r="H11" s="40">
        <f t="shared" si="1"/>
        <v>15.492000000000001</v>
      </c>
      <c r="I11" s="31">
        <f t="shared" si="1"/>
        <v>46.784000000000006</v>
      </c>
      <c r="J11" s="40">
        <f t="shared" si="1"/>
        <v>57.951999999999998</v>
      </c>
      <c r="K11" s="31">
        <f t="shared" si="0"/>
        <v>370.84933333333333</v>
      </c>
      <c r="L11" s="40">
        <f t="shared" si="0"/>
        <v>438.26799999999997</v>
      </c>
      <c r="M11" s="31">
        <f t="shared" si="1"/>
        <v>0.16933333333333334</v>
      </c>
      <c r="N11" s="40">
        <f t="shared" si="1"/>
        <v>0.19800000000000001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268</v>
      </c>
      <c r="B13" s="19" t="s">
        <v>44</v>
      </c>
      <c r="C13" s="39">
        <v>150</v>
      </c>
      <c r="D13" s="51">
        <v>180</v>
      </c>
      <c r="E13" s="49">
        <v>0</v>
      </c>
      <c r="F13" s="44">
        <v>0</v>
      </c>
      <c r="G13" s="49">
        <v>0</v>
      </c>
      <c r="H13" s="44">
        <v>0</v>
      </c>
      <c r="I13" s="39">
        <f>C13*15.9/100</f>
        <v>23.85</v>
      </c>
      <c r="J13" s="42">
        <f>D13*15.9/100</f>
        <v>28.62</v>
      </c>
      <c r="K13" s="39">
        <f t="shared" ref="K13:L14" si="2">E13*4+G13*9+I13*4</f>
        <v>95.4</v>
      </c>
      <c r="L13" s="42">
        <f t="shared" si="2"/>
        <v>114.48</v>
      </c>
      <c r="M13" s="49">
        <v>3</v>
      </c>
      <c r="N13" s="42"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3">SUM(E13)</f>
        <v>0</v>
      </c>
      <c r="F14" s="40">
        <f t="shared" si="3"/>
        <v>0</v>
      </c>
      <c r="G14" s="31">
        <f t="shared" si="3"/>
        <v>0</v>
      </c>
      <c r="H14" s="40">
        <f t="shared" si="3"/>
        <v>0</v>
      </c>
      <c r="I14" s="31">
        <f>SUM(I13)</f>
        <v>23.85</v>
      </c>
      <c r="J14" s="33">
        <f t="shared" ref="J14:N14" si="4">SUM(J13)</f>
        <v>28.62</v>
      </c>
      <c r="K14" s="130">
        <f t="shared" si="2"/>
        <v>95.4</v>
      </c>
      <c r="L14" s="33">
        <f t="shared" si="2"/>
        <v>114.48</v>
      </c>
      <c r="M14" s="31">
        <f t="shared" si="4"/>
        <v>3</v>
      </c>
      <c r="N14" s="33">
        <f t="shared" si="4"/>
        <v>3.6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34</v>
      </c>
      <c r="B16" s="19" t="s">
        <v>243</v>
      </c>
      <c r="C16" s="39">
        <v>40</v>
      </c>
      <c r="D16" s="51">
        <v>60</v>
      </c>
      <c r="E16" s="37">
        <v>0.56999999999999995</v>
      </c>
      <c r="F16" s="41">
        <v>0.86</v>
      </c>
      <c r="G16" s="37">
        <v>2.44</v>
      </c>
      <c r="H16" s="41">
        <v>3.65</v>
      </c>
      <c r="I16" s="39">
        <v>3.34</v>
      </c>
      <c r="J16" s="42">
        <v>5.0199999999999996</v>
      </c>
      <c r="K16" s="37">
        <v>38</v>
      </c>
      <c r="L16" s="41">
        <v>56</v>
      </c>
      <c r="M16" s="37">
        <v>3.8</v>
      </c>
      <c r="N16" s="41">
        <v>5.7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17">
        <v>66</v>
      </c>
      <c r="B17" s="19" t="s">
        <v>141</v>
      </c>
      <c r="C17" s="39">
        <v>150</v>
      </c>
      <c r="D17" s="51">
        <v>200</v>
      </c>
      <c r="E17" s="37">
        <v>1.65</v>
      </c>
      <c r="F17" s="41">
        <v>2.2000000000000002</v>
      </c>
      <c r="G17" s="37">
        <v>0.96</v>
      </c>
      <c r="H17" s="41">
        <v>1.28</v>
      </c>
      <c r="I17" s="39">
        <v>8.25</v>
      </c>
      <c r="J17" s="41">
        <v>11</v>
      </c>
      <c r="K17" s="37">
        <v>44.64</v>
      </c>
      <c r="L17" s="41">
        <v>59.52</v>
      </c>
      <c r="M17" s="37">
        <v>1.73</v>
      </c>
      <c r="N17" s="41">
        <v>2.2999999999999998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54"/>
      <c r="B18" s="55" t="s">
        <v>157</v>
      </c>
      <c r="C18" s="39">
        <v>20</v>
      </c>
      <c r="D18" s="42">
        <v>24</v>
      </c>
      <c r="E18" s="39">
        <f>C18*13.56/60</f>
        <v>4.5199999999999996</v>
      </c>
      <c r="F18" s="41">
        <f>D18*18.08/80</f>
        <v>5.4239999999999995</v>
      </c>
      <c r="G18" s="39">
        <f>C18*10.2/60</f>
        <v>3.4</v>
      </c>
      <c r="H18" s="42">
        <f>D18*13.6/80</f>
        <v>4.08</v>
      </c>
      <c r="I18" s="49">
        <v>0</v>
      </c>
      <c r="J18" s="44">
        <v>0</v>
      </c>
      <c r="K18" s="37">
        <f t="shared" ref="K18:L22" si="5">E18*4+G18*9+I18*4</f>
        <v>48.679999999999993</v>
      </c>
      <c r="L18" s="41">
        <f t="shared" si="5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/>
      <c r="B19" s="19" t="s">
        <v>56</v>
      </c>
      <c r="C19" s="39">
        <v>10</v>
      </c>
      <c r="D19" s="42">
        <v>10</v>
      </c>
      <c r="E19" s="39">
        <f>C19*2.6/100</f>
        <v>0.26</v>
      </c>
      <c r="F19" s="42">
        <f>D19*2.6/100</f>
        <v>0.26</v>
      </c>
      <c r="G19" s="39">
        <f>C19*15/100</f>
        <v>1.5</v>
      </c>
      <c r="H19" s="42">
        <f>D19*15/100</f>
        <v>1.5</v>
      </c>
      <c r="I19" s="39">
        <f>C19*3.6/100</f>
        <v>0.36</v>
      </c>
      <c r="J19" s="42">
        <f>D19*3.6/100</f>
        <v>0.36</v>
      </c>
      <c r="K19" s="37">
        <f t="shared" si="5"/>
        <v>15.979999999999999</v>
      </c>
      <c r="L19" s="41">
        <f t="shared" si="5"/>
        <v>15.979999999999999</v>
      </c>
      <c r="M19" s="39">
        <f>C19*0.4/100</f>
        <v>0.04</v>
      </c>
      <c r="N19" s="42">
        <f>D19*0.4/100</f>
        <v>0.04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208</v>
      </c>
      <c r="B20" s="109" t="s">
        <v>214</v>
      </c>
      <c r="C20" s="39">
        <v>120</v>
      </c>
      <c r="D20" s="42">
        <v>150</v>
      </c>
      <c r="E20" s="37">
        <v>6.84</v>
      </c>
      <c r="F20" s="41">
        <v>7.65</v>
      </c>
      <c r="G20" s="37">
        <v>4.92</v>
      </c>
      <c r="H20" s="41">
        <v>6.15</v>
      </c>
      <c r="I20" s="37">
        <v>30.91</v>
      </c>
      <c r="J20" s="41">
        <v>38.64</v>
      </c>
      <c r="K20" s="37">
        <v>195</v>
      </c>
      <c r="L20" s="41">
        <v>243</v>
      </c>
      <c r="M20" s="49">
        <v>0.03</v>
      </c>
      <c r="N20" s="44">
        <v>0.03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178</v>
      </c>
      <c r="B21" s="19" t="s">
        <v>163</v>
      </c>
      <c r="C21" s="39">
        <v>120</v>
      </c>
      <c r="D21" s="42">
        <v>160</v>
      </c>
      <c r="E21" s="39">
        <v>15.51</v>
      </c>
      <c r="F21" s="41">
        <v>20.68</v>
      </c>
      <c r="G21" s="39">
        <v>12.43</v>
      </c>
      <c r="H21" s="42">
        <v>16.57</v>
      </c>
      <c r="I21" s="37">
        <v>0.2</v>
      </c>
      <c r="J21" s="41">
        <v>0.26</v>
      </c>
      <c r="K21" s="37">
        <f t="shared" si="5"/>
        <v>174.71</v>
      </c>
      <c r="L21" s="41">
        <f t="shared" si="5"/>
        <v>232.89</v>
      </c>
      <c r="M21" s="37">
        <v>0.01</v>
      </c>
      <c r="N21" s="42">
        <v>0.01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>
        <v>253</v>
      </c>
      <c r="B22" s="19" t="s">
        <v>164</v>
      </c>
      <c r="C22" s="39">
        <v>150</v>
      </c>
      <c r="D22" s="42">
        <v>180</v>
      </c>
      <c r="E22" s="39">
        <f>C22*0.22/100</f>
        <v>0.33</v>
      </c>
      <c r="F22" s="41">
        <f>D22*0.22/100</f>
        <v>0.39600000000000002</v>
      </c>
      <c r="G22" s="39">
        <f>C22*0.01/100</f>
        <v>1.4999999999999999E-2</v>
      </c>
      <c r="H22" s="42">
        <f>D22*0.01/100</f>
        <v>1.8000000000000002E-2</v>
      </c>
      <c r="I22" s="37">
        <f>C22*13.88/100</f>
        <v>20.82</v>
      </c>
      <c r="J22" s="41">
        <f>D22*13.88/100</f>
        <v>24.984000000000002</v>
      </c>
      <c r="K22" s="37">
        <f t="shared" si="5"/>
        <v>84.734999999999999</v>
      </c>
      <c r="L22" s="41">
        <f t="shared" si="5"/>
        <v>101.682</v>
      </c>
      <c r="M22" s="37">
        <f>C22*0.2/100</f>
        <v>0.3</v>
      </c>
      <c r="N22" s="42">
        <f>D22*0.2/100</f>
        <v>0.36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17"/>
      <c r="B23" s="19" t="s">
        <v>58</v>
      </c>
      <c r="C23" s="39">
        <v>40</v>
      </c>
      <c r="D23" s="42">
        <v>50</v>
      </c>
      <c r="E23" s="37">
        <f>C23*7.92/100</f>
        <v>3.1680000000000001</v>
      </c>
      <c r="F23" s="42">
        <f>D23*7.92/100</f>
        <v>3.96</v>
      </c>
      <c r="G23" s="37">
        <f>C23*1.32/100</f>
        <v>0.52800000000000002</v>
      </c>
      <c r="H23" s="42">
        <f>D23*1.32/100</f>
        <v>0.66</v>
      </c>
      <c r="I23" s="39">
        <f>C23*52.68/100</f>
        <v>21.071999999999999</v>
      </c>
      <c r="J23" s="42">
        <f>D23*52.68/100</f>
        <v>26.34</v>
      </c>
      <c r="K23" s="37">
        <f t="shared" ref="K23" si="6">E23*4+G23*9+I23*4</f>
        <v>101.71199999999999</v>
      </c>
      <c r="L23" s="41">
        <f t="shared" ref="L23" si="7">F23*4+H23*9+J23*4</f>
        <v>127.14</v>
      </c>
      <c r="M23" s="49">
        <v>0</v>
      </c>
      <c r="N23" s="44">
        <v>0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17"/>
      <c r="B24" s="27" t="s">
        <v>83</v>
      </c>
      <c r="C24" s="130">
        <f>SUM(C16:C23)</f>
        <v>650</v>
      </c>
      <c r="D24" s="57">
        <f>SUM(D16:D23)</f>
        <v>834</v>
      </c>
      <c r="E24" s="31">
        <f t="shared" ref="E24:N24" si="8">SUM(E16:E23)</f>
        <v>32.847999999999999</v>
      </c>
      <c r="F24" s="40">
        <f t="shared" si="8"/>
        <v>41.43</v>
      </c>
      <c r="G24" s="31">
        <f t="shared" si="8"/>
        <v>26.192999999999998</v>
      </c>
      <c r="H24" s="40">
        <f t="shared" si="8"/>
        <v>33.908000000000001</v>
      </c>
      <c r="I24" s="31">
        <f t="shared" si="8"/>
        <v>84.951999999999998</v>
      </c>
      <c r="J24" s="40">
        <f t="shared" si="8"/>
        <v>106.604</v>
      </c>
      <c r="K24" s="31">
        <f t="shared" si="8"/>
        <v>703.45699999999999</v>
      </c>
      <c r="L24" s="40">
        <f t="shared" si="8"/>
        <v>894.62800000000004</v>
      </c>
      <c r="M24" s="31">
        <f t="shared" si="8"/>
        <v>5.9099999999999993</v>
      </c>
      <c r="N24" s="40">
        <f t="shared" si="8"/>
        <v>8.4399999999999977</v>
      </c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262" t="s">
        <v>60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301</v>
      </c>
      <c r="B26" s="19" t="s">
        <v>244</v>
      </c>
      <c r="C26" s="39">
        <v>55</v>
      </c>
      <c r="D26" s="42">
        <v>55</v>
      </c>
      <c r="E26" s="37">
        <v>1.44</v>
      </c>
      <c r="F26" s="41">
        <v>1.44</v>
      </c>
      <c r="G26" s="37">
        <v>3.45</v>
      </c>
      <c r="H26" s="41">
        <v>3.45</v>
      </c>
      <c r="I26" s="39">
        <v>8.4</v>
      </c>
      <c r="J26" s="41">
        <v>8.4</v>
      </c>
      <c r="K26" s="37">
        <v>70</v>
      </c>
      <c r="L26" s="41">
        <v>70</v>
      </c>
      <c r="M26" s="49">
        <v>27.18</v>
      </c>
      <c r="N26" s="44">
        <v>27.18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14">
        <v>269</v>
      </c>
      <c r="B27" s="109" t="s">
        <v>66</v>
      </c>
      <c r="C27" s="39">
        <v>150</v>
      </c>
      <c r="D27" s="42">
        <v>180</v>
      </c>
      <c r="E27" s="49">
        <v>4.58</v>
      </c>
      <c r="F27" s="44">
        <v>5.48</v>
      </c>
      <c r="G27" s="49">
        <v>4.08</v>
      </c>
      <c r="H27" s="44">
        <v>4.88</v>
      </c>
      <c r="I27" s="37">
        <v>7.58</v>
      </c>
      <c r="J27" s="41">
        <v>9.07</v>
      </c>
      <c r="K27" s="37">
        <v>85</v>
      </c>
      <c r="L27" s="41">
        <v>102</v>
      </c>
      <c r="M27" s="39">
        <v>2.0499999999999998</v>
      </c>
      <c r="N27" s="41">
        <v>2.46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>
        <v>248</v>
      </c>
      <c r="B28" s="19" t="s">
        <v>147</v>
      </c>
      <c r="C28" s="39">
        <v>100</v>
      </c>
      <c r="D28" s="42">
        <v>100</v>
      </c>
      <c r="E28" s="37">
        <v>0.4</v>
      </c>
      <c r="F28" s="41">
        <v>0.4</v>
      </c>
      <c r="G28" s="37">
        <v>0.3</v>
      </c>
      <c r="H28" s="41">
        <v>0.3</v>
      </c>
      <c r="I28" s="37">
        <v>10.3</v>
      </c>
      <c r="J28" s="41">
        <v>10.3</v>
      </c>
      <c r="K28" s="37">
        <f t="shared" ref="K28:L28" si="9">E28*4+G28*9+I28*4</f>
        <v>45.5</v>
      </c>
      <c r="L28" s="41">
        <f t="shared" si="9"/>
        <v>45.5</v>
      </c>
      <c r="M28" s="49">
        <v>5</v>
      </c>
      <c r="N28" s="44">
        <v>5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17"/>
      <c r="B29" s="27" t="s">
        <v>80</v>
      </c>
      <c r="C29" s="130">
        <f>SUM(C26:C28)</f>
        <v>305</v>
      </c>
      <c r="D29" s="33">
        <f t="shared" ref="D29:N29" si="10">SUM(D26:D28)</f>
        <v>335</v>
      </c>
      <c r="E29" s="130">
        <f t="shared" si="10"/>
        <v>6.42</v>
      </c>
      <c r="F29" s="33">
        <f t="shared" si="10"/>
        <v>7.32</v>
      </c>
      <c r="G29" s="130">
        <f t="shared" si="10"/>
        <v>7.83</v>
      </c>
      <c r="H29" s="33">
        <f t="shared" si="10"/>
        <v>8.6300000000000008</v>
      </c>
      <c r="I29" s="31">
        <f t="shared" si="10"/>
        <v>26.28</v>
      </c>
      <c r="J29" s="33">
        <f t="shared" si="10"/>
        <v>27.77</v>
      </c>
      <c r="K29" s="130">
        <f t="shared" si="10"/>
        <v>200.5</v>
      </c>
      <c r="L29" s="33">
        <f t="shared" si="10"/>
        <v>217.5</v>
      </c>
      <c r="M29" s="130">
        <f t="shared" si="10"/>
        <v>34.230000000000004</v>
      </c>
      <c r="N29" s="40">
        <f t="shared" si="10"/>
        <v>34.64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6" x14ac:dyDescent="0.25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O30" s="66"/>
      <c r="P30" s="131"/>
      <c r="Q30" s="111"/>
      <c r="R30" s="111"/>
      <c r="S30" s="111"/>
      <c r="T30" s="111"/>
      <c r="U30" s="66"/>
      <c r="V30" s="67"/>
      <c r="W30" s="111"/>
      <c r="X30" s="111"/>
      <c r="Y30" s="111"/>
      <c r="Z30" s="111"/>
    </row>
    <row r="31" spans="1:26" x14ac:dyDescent="0.25">
      <c r="A31" s="17"/>
      <c r="B31" s="59" t="s">
        <v>59</v>
      </c>
      <c r="C31" s="60"/>
      <c r="D31" s="60"/>
      <c r="E31" s="62">
        <f>E11+E14+E24+E29</f>
        <v>54.017333333333333</v>
      </c>
      <c r="F31" s="63">
        <f t="shared" ref="F31:N31" si="11">F11+F14+F24+F29</f>
        <v>65.507999999999996</v>
      </c>
      <c r="G31" s="62">
        <f t="shared" si="11"/>
        <v>47.880333333333326</v>
      </c>
      <c r="H31" s="63">
        <f t="shared" si="11"/>
        <v>58.030000000000008</v>
      </c>
      <c r="I31" s="62">
        <f t="shared" si="11"/>
        <v>181.86600000000001</v>
      </c>
      <c r="J31" s="63">
        <f t="shared" si="11"/>
        <v>220.946</v>
      </c>
      <c r="K31" s="62">
        <f t="shared" si="11"/>
        <v>1370.2063333333333</v>
      </c>
      <c r="L31" s="63">
        <f t="shared" si="11"/>
        <v>1664.876</v>
      </c>
      <c r="M31" s="62">
        <f t="shared" si="11"/>
        <v>43.309333333333335</v>
      </c>
      <c r="N31" s="63">
        <f t="shared" si="11"/>
        <v>46.878</v>
      </c>
      <c r="P31" s="132"/>
      <c r="V31" s="133"/>
    </row>
    <row r="32" spans="1:26" x14ac:dyDescent="0.25">
      <c r="A32" s="117"/>
      <c r="B32" s="59" t="s">
        <v>174</v>
      </c>
      <c r="C32" s="60"/>
      <c r="D32" s="60"/>
      <c r="E32" s="110" t="s">
        <v>165</v>
      </c>
      <c r="F32" s="110" t="s">
        <v>166</v>
      </c>
      <c r="G32" s="110" t="s">
        <v>167</v>
      </c>
      <c r="H32" s="110" t="s">
        <v>168</v>
      </c>
      <c r="I32" s="110" t="s">
        <v>169</v>
      </c>
      <c r="J32" s="110" t="s">
        <v>170</v>
      </c>
      <c r="K32" s="110" t="s">
        <v>171</v>
      </c>
      <c r="L32" s="110" t="s">
        <v>172</v>
      </c>
      <c r="M32" s="110" t="s">
        <v>188</v>
      </c>
      <c r="N32" s="110" t="s">
        <v>189</v>
      </c>
      <c r="P32" s="126"/>
      <c r="V32" s="111"/>
    </row>
    <row r="33" spans="1:22" x14ac:dyDescent="0.25">
      <c r="A33" s="120"/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P33" s="126"/>
      <c r="V33" s="111"/>
    </row>
    <row r="34" spans="1:22" x14ac:dyDescent="0.25">
      <c r="A34" s="53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P34" s="126"/>
      <c r="V34" s="111"/>
    </row>
    <row r="35" spans="1:22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7"/>
      <c r="V35" s="128"/>
    </row>
    <row r="36" spans="1:22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5"/>
      <c r="V36" s="5"/>
    </row>
    <row r="37" spans="1:22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22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</row>
    <row r="39" spans="1:22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2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2" x14ac:dyDescent="0.25">
      <c r="A41" s="66"/>
      <c r="B41" s="66"/>
      <c r="C41" s="66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2" x14ac:dyDescent="0.25">
      <c r="A42" s="5"/>
      <c r="B42" s="5"/>
      <c r="C42" s="67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"/>
    </row>
    <row r="43" spans="1:22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2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2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2" x14ac:dyDescent="0.25">
      <c r="A46" s="5"/>
      <c r="B46" s="5"/>
      <c r="C46" s="67"/>
      <c r="D46" s="5"/>
      <c r="I46" s="28"/>
      <c r="J46" s="28"/>
      <c r="K46" s="28"/>
      <c r="L46" s="28"/>
      <c r="M46" s="28"/>
      <c r="N46" s="28"/>
    </row>
    <row r="47" spans="1:22" x14ac:dyDescent="0.25">
      <c r="A47" s="5"/>
      <c r="B47" s="5"/>
      <c r="C47" s="67"/>
      <c r="D47" s="5"/>
    </row>
    <row r="48" spans="1:22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E4:F4"/>
    <mergeCell ref="G4:H4"/>
    <mergeCell ref="I4:J4"/>
    <mergeCell ref="K3:L4"/>
    <mergeCell ref="M3:N4"/>
    <mergeCell ref="A6:N6"/>
    <mergeCell ref="A30:N30"/>
    <mergeCell ref="A12:N12"/>
    <mergeCell ref="A15:N15"/>
    <mergeCell ref="A25:N25"/>
  </mergeCells>
  <pageMargins left="0.32291666666666669" right="0.7" top="0.20833333333333334" bottom="0.44791666666666669" header="0.3" footer="0.3"/>
  <pageSetup paperSize="9" orientation="landscape" horizontalDpi="4294967293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Normal="100" workbookViewId="0">
      <selection activeCell="A17" sqref="A17"/>
    </sheetView>
  </sheetViews>
  <sheetFormatPr defaultRowHeight="15" x14ac:dyDescent="0.25"/>
  <cols>
    <col min="1" max="1" width="4.85546875" style="112" customWidth="1"/>
    <col min="2" max="2" width="38.85546875" style="112" customWidth="1"/>
    <col min="3" max="3" width="7.28515625" style="112" customWidth="1"/>
    <col min="4" max="4" width="6.5703125" style="112" customWidth="1"/>
    <col min="5" max="5" width="6.7109375" style="112" customWidth="1"/>
    <col min="6" max="6" width="7.42578125" style="112" customWidth="1"/>
    <col min="7" max="7" width="6.42578125" style="112" customWidth="1"/>
    <col min="8" max="8" width="6.5703125" style="112" customWidth="1"/>
    <col min="9" max="9" width="7.28515625" style="112" customWidth="1"/>
    <col min="10" max="10" width="7.5703125" style="112" customWidth="1"/>
    <col min="11" max="12" width="9.42578125" style="112" customWidth="1"/>
    <col min="13" max="13" width="6.5703125" style="112" customWidth="1"/>
    <col min="14" max="14" width="7.28515625" style="112" customWidth="1"/>
    <col min="15" max="15" width="20.7109375" style="112" customWidth="1"/>
    <col min="16" max="16" width="7.28515625" style="112" customWidth="1"/>
    <col min="17" max="20" width="9.140625" style="112"/>
    <col min="21" max="21" width="19.7109375" style="112" customWidth="1"/>
    <col min="22" max="22" width="7.7109375" style="112" customWidth="1"/>
    <col min="23" max="23" width="9.140625" style="112"/>
    <col min="24" max="24" width="7.7109375" style="112" customWidth="1"/>
    <col min="25" max="16384" width="9.140625" style="112"/>
  </cols>
  <sheetData>
    <row r="1" spans="1:26" ht="15.75" x14ac:dyDescent="0.25">
      <c r="A1" s="243" t="s">
        <v>46</v>
      </c>
      <c r="B1" s="243"/>
      <c r="C1" s="243" t="s">
        <v>161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44" t="s">
        <v>47</v>
      </c>
      <c r="B2" s="244"/>
      <c r="C2" s="244" t="s">
        <v>84</v>
      </c>
      <c r="D2" s="244"/>
      <c r="E2" s="244"/>
      <c r="F2" s="244"/>
      <c r="G2" s="244"/>
      <c r="H2" s="244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9" t="s">
        <v>0</v>
      </c>
      <c r="B3" s="252" t="s">
        <v>1</v>
      </c>
      <c r="C3" s="246" t="s">
        <v>40</v>
      </c>
      <c r="D3" s="247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58" t="s">
        <v>39</v>
      </c>
      <c r="N3" s="259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50"/>
      <c r="B4" s="253"/>
      <c r="C4" s="246"/>
      <c r="D4" s="247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60"/>
      <c r="N4" s="261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51"/>
      <c r="B5" s="254"/>
      <c r="C5" s="31" t="s">
        <v>42</v>
      </c>
      <c r="D5" s="32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2" t="s">
        <v>43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4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106</v>
      </c>
      <c r="B7" s="18" t="s">
        <v>173</v>
      </c>
      <c r="C7" s="39">
        <v>160</v>
      </c>
      <c r="D7" s="45">
        <v>180</v>
      </c>
      <c r="E7" s="37">
        <f>C7*2.85/100</f>
        <v>4.5599999999999996</v>
      </c>
      <c r="F7" s="41">
        <f>D7*2.85/100</f>
        <v>5.13</v>
      </c>
      <c r="G7" s="37">
        <f>C7*3.24/100</f>
        <v>5.1840000000000011</v>
      </c>
      <c r="H7" s="41">
        <f>D7*3.24/100</f>
        <v>5.8320000000000007</v>
      </c>
      <c r="I7" s="39">
        <f>C7*16.3/100</f>
        <v>26.08</v>
      </c>
      <c r="J7" s="42">
        <f>D7*16.3/100</f>
        <v>29.34</v>
      </c>
      <c r="K7" s="37">
        <f t="shared" ref="K7:L11" si="0">E7*4+G7*9+I7*4</f>
        <v>169.21600000000001</v>
      </c>
      <c r="L7" s="41">
        <f t="shared" si="0"/>
        <v>190.36799999999999</v>
      </c>
      <c r="M7" s="43">
        <v>0</v>
      </c>
      <c r="N7" s="44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/>
      <c r="B8" s="16" t="s">
        <v>27</v>
      </c>
      <c r="C8" s="38">
        <v>30</v>
      </c>
      <c r="D8" s="46">
        <v>40</v>
      </c>
      <c r="E8" s="38">
        <f>C8*7.5/100</f>
        <v>2.25</v>
      </c>
      <c r="F8" s="56">
        <f>D8*7.5/100</f>
        <v>3</v>
      </c>
      <c r="G8" s="37">
        <f>C8*2.9/100</f>
        <v>0.87</v>
      </c>
      <c r="H8" s="42">
        <f>D8*2.9/100</f>
        <v>1.1599999999999999</v>
      </c>
      <c r="I8" s="39">
        <f>C8*51.4/100</f>
        <v>15.42</v>
      </c>
      <c r="J8" s="42">
        <f>D8*51.4/100</f>
        <v>20.56</v>
      </c>
      <c r="K8" s="39">
        <f t="shared" si="0"/>
        <v>78.509999999999991</v>
      </c>
      <c r="L8" s="42">
        <f t="shared" si="0"/>
        <v>104.67999999999999</v>
      </c>
      <c r="M8" s="43">
        <v>0</v>
      </c>
      <c r="N8" s="44">
        <v>0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5</v>
      </c>
      <c r="B9" s="18" t="s">
        <v>150</v>
      </c>
      <c r="C9" s="39">
        <v>10</v>
      </c>
      <c r="D9" s="47">
        <v>10</v>
      </c>
      <c r="E9" s="39">
        <v>0.08</v>
      </c>
      <c r="F9" s="42">
        <v>0.08</v>
      </c>
      <c r="G9" s="37">
        <v>7.25</v>
      </c>
      <c r="H9" s="41">
        <v>7.25</v>
      </c>
      <c r="I9" s="39">
        <v>0.13</v>
      </c>
      <c r="J9" s="42">
        <v>0.13</v>
      </c>
      <c r="K9" s="39">
        <f t="shared" si="0"/>
        <v>66.089999999999989</v>
      </c>
      <c r="L9" s="42">
        <f t="shared" si="0"/>
        <v>66.089999999999989</v>
      </c>
      <c r="M9" s="43">
        <v>0</v>
      </c>
      <c r="N9" s="44">
        <v>0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17">
        <v>266</v>
      </c>
      <c r="B10" s="19" t="s">
        <v>33</v>
      </c>
      <c r="C10" s="39">
        <v>150</v>
      </c>
      <c r="D10" s="45">
        <v>180</v>
      </c>
      <c r="E10" s="37">
        <v>3.15</v>
      </c>
      <c r="F10" s="41">
        <v>3.67</v>
      </c>
      <c r="G10" s="37">
        <v>2.72</v>
      </c>
      <c r="H10" s="41">
        <v>3.19</v>
      </c>
      <c r="I10" s="39">
        <v>12.96</v>
      </c>
      <c r="J10" s="41">
        <v>15.82</v>
      </c>
      <c r="K10" s="39">
        <f t="shared" si="0"/>
        <v>88.92</v>
      </c>
      <c r="L10" s="42">
        <f t="shared" si="0"/>
        <v>106.67</v>
      </c>
      <c r="M10" s="69">
        <v>1.2</v>
      </c>
      <c r="N10" s="41">
        <v>1.43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"/>
      <c r="B11" s="27" t="s">
        <v>81</v>
      </c>
      <c r="C11" s="130">
        <f>SUM(C7:C10)</f>
        <v>350</v>
      </c>
      <c r="D11" s="48">
        <f>SUM(D7:D10)</f>
        <v>410</v>
      </c>
      <c r="E11" s="31">
        <f t="shared" ref="E11:N11" si="1">SUM(E7:E10)</f>
        <v>10.039999999999999</v>
      </c>
      <c r="F11" s="40">
        <f t="shared" si="1"/>
        <v>11.879999999999999</v>
      </c>
      <c r="G11" s="31">
        <f t="shared" si="1"/>
        <v>16.024000000000001</v>
      </c>
      <c r="H11" s="40">
        <f t="shared" si="1"/>
        <v>17.432000000000002</v>
      </c>
      <c r="I11" s="31">
        <f t="shared" si="1"/>
        <v>54.59</v>
      </c>
      <c r="J11" s="33">
        <f t="shared" si="1"/>
        <v>65.849999999999994</v>
      </c>
      <c r="K11" s="31">
        <f t="shared" si="0"/>
        <v>402.73599999999999</v>
      </c>
      <c r="L11" s="40">
        <f t="shared" si="0"/>
        <v>467.80799999999999</v>
      </c>
      <c r="M11" s="31">
        <f t="shared" si="1"/>
        <v>1.2</v>
      </c>
      <c r="N11" s="40">
        <f t="shared" si="1"/>
        <v>1.43</v>
      </c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255" t="s">
        <v>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>
        <v>270</v>
      </c>
      <c r="B13" s="19" t="s">
        <v>88</v>
      </c>
      <c r="C13" s="39">
        <v>150</v>
      </c>
      <c r="D13" s="51">
        <v>180</v>
      </c>
      <c r="E13" s="37">
        <v>4.3499999999999996</v>
      </c>
      <c r="F13" s="41">
        <v>5.22</v>
      </c>
      <c r="G13" s="37">
        <v>3.75</v>
      </c>
      <c r="H13" s="41">
        <v>4.5</v>
      </c>
      <c r="I13" s="37">
        <v>6.3</v>
      </c>
      <c r="J13" s="42">
        <v>7.56</v>
      </c>
      <c r="K13" s="39">
        <f t="shared" ref="K13:L14" si="2">E13*4+G13*9+I13*4</f>
        <v>76.349999999999994</v>
      </c>
      <c r="L13" s="42">
        <f t="shared" si="2"/>
        <v>91.61999999999999</v>
      </c>
      <c r="M13" s="37">
        <v>0.45</v>
      </c>
      <c r="N13" s="42">
        <v>0.54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17"/>
      <c r="B14" s="27" t="s">
        <v>82</v>
      </c>
      <c r="C14" s="130">
        <f>SUM(C13)</f>
        <v>150</v>
      </c>
      <c r="D14" s="57">
        <f>SUM(D13)</f>
        <v>180</v>
      </c>
      <c r="E14" s="31">
        <f t="shared" ref="E14:H14" si="3">SUM(E13)</f>
        <v>4.3499999999999996</v>
      </c>
      <c r="F14" s="40">
        <f t="shared" si="3"/>
        <v>5.22</v>
      </c>
      <c r="G14" s="31">
        <f t="shared" si="3"/>
        <v>3.75</v>
      </c>
      <c r="H14" s="40">
        <f t="shared" si="3"/>
        <v>4.5</v>
      </c>
      <c r="I14" s="31">
        <f>SUM(I13)</f>
        <v>6.3</v>
      </c>
      <c r="J14" s="33">
        <f t="shared" ref="J14:N14" si="4">SUM(J13)</f>
        <v>7.56</v>
      </c>
      <c r="K14" s="130">
        <f t="shared" si="2"/>
        <v>76.349999999999994</v>
      </c>
      <c r="L14" s="33">
        <f t="shared" si="2"/>
        <v>91.61999999999999</v>
      </c>
      <c r="M14" s="31">
        <f t="shared" si="4"/>
        <v>0.45</v>
      </c>
      <c r="N14" s="33">
        <f t="shared" si="4"/>
        <v>0.54</v>
      </c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255" t="s">
        <v>45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7"/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28</v>
      </c>
      <c r="B16" s="19" t="s">
        <v>207</v>
      </c>
      <c r="C16" s="39">
        <v>40</v>
      </c>
      <c r="D16" s="51">
        <v>60</v>
      </c>
      <c r="E16" s="37">
        <v>0.3</v>
      </c>
      <c r="F16" s="41">
        <v>0.42</v>
      </c>
      <c r="G16" s="37">
        <v>2.4</v>
      </c>
      <c r="H16" s="41">
        <v>3.6</v>
      </c>
      <c r="I16" s="39">
        <v>0.94</v>
      </c>
      <c r="J16" s="42">
        <v>1.4</v>
      </c>
      <c r="K16" s="37">
        <v>27</v>
      </c>
      <c r="L16" s="41">
        <v>40</v>
      </c>
      <c r="M16" s="37">
        <v>1.9</v>
      </c>
      <c r="N16" s="41">
        <v>2.8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9" x14ac:dyDescent="0.25">
      <c r="A17" s="17">
        <v>36</v>
      </c>
      <c r="B17" s="116" t="s">
        <v>220</v>
      </c>
      <c r="C17" s="39">
        <v>150</v>
      </c>
      <c r="D17" s="51">
        <v>200</v>
      </c>
      <c r="E17" s="37">
        <v>1.4</v>
      </c>
      <c r="F17" s="41">
        <v>1.87</v>
      </c>
      <c r="G17" s="37">
        <v>2.33</v>
      </c>
      <c r="H17" s="42">
        <v>3.11</v>
      </c>
      <c r="I17" s="37">
        <v>8.1999999999999993</v>
      </c>
      <c r="J17" s="42">
        <v>10.89</v>
      </c>
      <c r="K17" s="37">
        <v>59.3</v>
      </c>
      <c r="L17" s="41">
        <v>79.03</v>
      </c>
      <c r="M17" s="39">
        <v>3.45</v>
      </c>
      <c r="N17" s="41">
        <v>4.5999999999999996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9" x14ac:dyDescent="0.25">
      <c r="A18" s="54"/>
      <c r="B18" s="55" t="s">
        <v>55</v>
      </c>
      <c r="C18" s="39">
        <v>20</v>
      </c>
      <c r="D18" s="42">
        <v>24</v>
      </c>
      <c r="E18" s="39">
        <f>C18*13.56/60</f>
        <v>4.5199999999999996</v>
      </c>
      <c r="F18" s="41">
        <f>D18*13.56/60</f>
        <v>5.4240000000000004</v>
      </c>
      <c r="G18" s="39">
        <f>C18*10.2/60</f>
        <v>3.4</v>
      </c>
      <c r="H18" s="42">
        <f>D18*10.2/60</f>
        <v>4.08</v>
      </c>
      <c r="I18" s="49">
        <v>0</v>
      </c>
      <c r="J18" s="44">
        <v>0</v>
      </c>
      <c r="K18" s="37">
        <f t="shared" ref="K18:L18" si="5">E18*4+G18*9+I18*4</f>
        <v>48.679999999999993</v>
      </c>
      <c r="L18" s="41">
        <f t="shared" si="5"/>
        <v>58.415999999999997</v>
      </c>
      <c r="M18" s="49">
        <v>0</v>
      </c>
      <c r="N18" s="44">
        <v>0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9" x14ac:dyDescent="0.25">
      <c r="A19" s="17">
        <v>216</v>
      </c>
      <c r="B19" s="19" t="s">
        <v>90</v>
      </c>
      <c r="C19" s="39">
        <v>150</v>
      </c>
      <c r="D19" s="42">
        <v>180</v>
      </c>
      <c r="E19" s="39">
        <f>C19*2.04/100</f>
        <v>3.06</v>
      </c>
      <c r="F19" s="41">
        <f>D19*2.04/100</f>
        <v>3.6719999999999997</v>
      </c>
      <c r="G19" s="37">
        <f>C19*3.2/100</f>
        <v>4.8</v>
      </c>
      <c r="H19" s="42">
        <f>D19*3.2/100</f>
        <v>5.76</v>
      </c>
      <c r="I19" s="37">
        <f>C19*13.63/100</f>
        <v>20.445000000000004</v>
      </c>
      <c r="J19" s="41">
        <f>D19*13.63/100</f>
        <v>24.534000000000002</v>
      </c>
      <c r="K19" s="37">
        <f t="shared" ref="K19:K20" si="6">E19*4+G19*9+I19*4</f>
        <v>137.22000000000003</v>
      </c>
      <c r="L19" s="41">
        <f t="shared" ref="L19:L20" si="7">F19*4+H19*9+J19*4</f>
        <v>164.66399999999999</v>
      </c>
      <c r="M19" s="39">
        <f>C19*12.11/100</f>
        <v>18.164999999999999</v>
      </c>
      <c r="N19" s="41">
        <f>D19*12.11/100</f>
        <v>21.797999999999998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9" x14ac:dyDescent="0.25">
      <c r="A20" s="17">
        <v>156</v>
      </c>
      <c r="B20" s="19" t="s">
        <v>175</v>
      </c>
      <c r="C20" s="39">
        <v>70</v>
      </c>
      <c r="D20" s="42">
        <v>80</v>
      </c>
      <c r="E20" s="37">
        <v>6.81</v>
      </c>
      <c r="F20" s="41">
        <v>7.8</v>
      </c>
      <c r="G20" s="37">
        <v>3.46</v>
      </c>
      <c r="H20" s="42">
        <v>3.57</v>
      </c>
      <c r="I20" s="37">
        <v>2.66</v>
      </c>
      <c r="J20" s="41">
        <v>3.04</v>
      </c>
      <c r="K20" s="37">
        <f t="shared" si="6"/>
        <v>69.02</v>
      </c>
      <c r="L20" s="41">
        <f t="shared" si="7"/>
        <v>75.489999999999995</v>
      </c>
      <c r="M20" s="39">
        <v>2.61</v>
      </c>
      <c r="N20" s="41">
        <v>2.98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9" x14ac:dyDescent="0.25">
      <c r="A21" s="17">
        <v>253</v>
      </c>
      <c r="B21" s="19" t="s">
        <v>92</v>
      </c>
      <c r="C21" s="39">
        <v>150</v>
      </c>
      <c r="D21" s="42">
        <v>180</v>
      </c>
      <c r="E21" s="37">
        <f>C21*0.22/100</f>
        <v>0.33</v>
      </c>
      <c r="F21" s="41">
        <f>D21*0.22/100</f>
        <v>0.39600000000000002</v>
      </c>
      <c r="G21" s="39">
        <f>C21*0.01/100</f>
        <v>1.4999999999999999E-2</v>
      </c>
      <c r="H21" s="42">
        <f>D21*0.01/100</f>
        <v>1.8000000000000002E-2</v>
      </c>
      <c r="I21" s="37">
        <f>C21*13.88/100</f>
        <v>20.82</v>
      </c>
      <c r="J21" s="41">
        <f>D21*13.88/100</f>
        <v>24.984000000000002</v>
      </c>
      <c r="K21" s="37">
        <f t="shared" ref="K21:K22" si="8">E21*4+G21*9+I21*4</f>
        <v>84.734999999999999</v>
      </c>
      <c r="L21" s="41">
        <f t="shared" ref="L21:L22" si="9">F21*4+H21*9+J21*4</f>
        <v>101.682</v>
      </c>
      <c r="M21" s="39">
        <f>C21*0.2/100</f>
        <v>0.3</v>
      </c>
      <c r="N21" s="42">
        <f>D21*0.2/100</f>
        <v>0.36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9" x14ac:dyDescent="0.25">
      <c r="A22" s="17"/>
      <c r="B22" s="19" t="s">
        <v>58</v>
      </c>
      <c r="C22" s="39">
        <v>40</v>
      </c>
      <c r="D22" s="42">
        <v>50</v>
      </c>
      <c r="E22" s="37">
        <f>C22*7.92/100</f>
        <v>3.1680000000000001</v>
      </c>
      <c r="F22" s="42">
        <f>D22*7.92/100</f>
        <v>3.96</v>
      </c>
      <c r="G22" s="37">
        <f>C22*1.32/100</f>
        <v>0.52800000000000002</v>
      </c>
      <c r="H22" s="42">
        <f>D22*1.32/100</f>
        <v>0.66</v>
      </c>
      <c r="I22" s="39">
        <f>C22*52.68/100</f>
        <v>21.071999999999999</v>
      </c>
      <c r="J22" s="42">
        <f>D22*52.68/100</f>
        <v>26.34</v>
      </c>
      <c r="K22" s="37">
        <f t="shared" si="8"/>
        <v>101.71199999999999</v>
      </c>
      <c r="L22" s="41">
        <f t="shared" si="9"/>
        <v>127.14</v>
      </c>
      <c r="M22" s="49">
        <v>0</v>
      </c>
      <c r="N22" s="44">
        <v>0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9" x14ac:dyDescent="0.25">
      <c r="A23" s="26"/>
      <c r="B23" s="27" t="s">
        <v>83</v>
      </c>
      <c r="C23" s="130">
        <f>SUM(C16:C22)</f>
        <v>620</v>
      </c>
      <c r="D23" s="57">
        <f>SUM(D16:D22)</f>
        <v>774</v>
      </c>
      <c r="E23" s="31">
        <f>SUM(E16:E22)</f>
        <v>19.587999999999997</v>
      </c>
      <c r="F23" s="40">
        <f t="shared" ref="F23:N23" si="10">SUM(F16:F22)</f>
        <v>23.542000000000002</v>
      </c>
      <c r="G23" s="31">
        <f t="shared" si="10"/>
        <v>16.933</v>
      </c>
      <c r="H23" s="40">
        <f t="shared" si="10"/>
        <v>20.797999999999998</v>
      </c>
      <c r="I23" s="31">
        <f t="shared" si="10"/>
        <v>74.137</v>
      </c>
      <c r="J23" s="40">
        <f t="shared" si="10"/>
        <v>91.188000000000017</v>
      </c>
      <c r="K23" s="31">
        <f t="shared" si="10"/>
        <v>527.66700000000003</v>
      </c>
      <c r="L23" s="40">
        <f t="shared" si="10"/>
        <v>646.42200000000003</v>
      </c>
      <c r="M23" s="31">
        <f t="shared" si="10"/>
        <v>26.425000000000001</v>
      </c>
      <c r="N23" s="40">
        <f t="shared" si="10"/>
        <v>32.537999999999997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9" x14ac:dyDescent="0.25">
      <c r="A24" s="262" t="s">
        <v>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9" x14ac:dyDescent="0.25">
      <c r="A25" s="17">
        <v>146</v>
      </c>
      <c r="B25" s="19" t="s">
        <v>176</v>
      </c>
      <c r="C25" s="39">
        <v>70</v>
      </c>
      <c r="D25" s="42">
        <v>80</v>
      </c>
      <c r="E25" s="37">
        <f>C25*15.14/100</f>
        <v>10.597999999999999</v>
      </c>
      <c r="F25" s="41">
        <f>D25*15.14/100</f>
        <v>12.112</v>
      </c>
      <c r="G25" s="37">
        <f>C25*10.76/100</f>
        <v>7.5319999999999991</v>
      </c>
      <c r="H25" s="41">
        <f>D25*10.76/100</f>
        <v>8.6079999999999988</v>
      </c>
      <c r="I25" s="37">
        <f>C25*24.33/100</f>
        <v>17.030999999999999</v>
      </c>
      <c r="J25" s="41">
        <f>D25*24.33/100</f>
        <v>19.463999999999999</v>
      </c>
      <c r="K25" s="37">
        <f t="shared" ref="K25:K28" si="11">E25*4+G25*9+I25*4</f>
        <v>178.30399999999997</v>
      </c>
      <c r="L25" s="41">
        <f t="shared" ref="L25:L28" si="12">F25*4+H25*9+J25*4</f>
        <v>203.77599999999998</v>
      </c>
      <c r="M25" s="37">
        <f>C25*0.19/100</f>
        <v>0.13300000000000001</v>
      </c>
      <c r="N25" s="41">
        <f>D25*0.19/100</f>
        <v>0.152</v>
      </c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9" x14ac:dyDescent="0.25">
      <c r="A26" s="17">
        <v>238</v>
      </c>
      <c r="B26" s="19" t="s">
        <v>137</v>
      </c>
      <c r="C26" s="39">
        <v>30</v>
      </c>
      <c r="D26" s="42">
        <v>30</v>
      </c>
      <c r="E26" s="37">
        <f>C26*1.94/100</f>
        <v>0.58199999999999996</v>
      </c>
      <c r="F26" s="41">
        <f>D26*1.94/100</f>
        <v>0.58199999999999996</v>
      </c>
      <c r="G26" s="37">
        <f>C26*4.52/100</f>
        <v>1.3559999999999999</v>
      </c>
      <c r="H26" s="41">
        <f>D26*4.52/100</f>
        <v>1.3559999999999999</v>
      </c>
      <c r="I26" s="37">
        <f>C26*13.26/100</f>
        <v>3.9780000000000002</v>
      </c>
      <c r="J26" s="41">
        <f>D26*13.26/100</f>
        <v>3.9780000000000002</v>
      </c>
      <c r="K26" s="37">
        <f t="shared" si="11"/>
        <v>30.443999999999999</v>
      </c>
      <c r="L26" s="41">
        <f t="shared" si="12"/>
        <v>30.443999999999999</v>
      </c>
      <c r="M26" s="37">
        <f>C26*0.33/100</f>
        <v>9.9000000000000005E-2</v>
      </c>
      <c r="N26" s="41">
        <f>D26*0.33/100</f>
        <v>9.9000000000000005E-2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9" x14ac:dyDescent="0.25">
      <c r="A27" s="17">
        <v>262</v>
      </c>
      <c r="B27" s="19" t="s">
        <v>57</v>
      </c>
      <c r="C27" s="39">
        <v>150</v>
      </c>
      <c r="D27" s="42">
        <v>180</v>
      </c>
      <c r="E27" s="39">
        <f>C27*0.07/150</f>
        <v>7.0000000000000007E-2</v>
      </c>
      <c r="F27" s="42">
        <f>D27*0.12/180</f>
        <v>0.11999999999999998</v>
      </c>
      <c r="G27" s="39">
        <f>C27*0.01/150</f>
        <v>0.01</v>
      </c>
      <c r="H27" s="42">
        <f>D27*0.02/180</f>
        <v>0.02</v>
      </c>
      <c r="I27" s="37">
        <f>C27*7.1/150</f>
        <v>7.1</v>
      </c>
      <c r="J27" s="41">
        <f>D27*10.2/180</f>
        <v>10.199999999999999</v>
      </c>
      <c r="K27" s="37">
        <f t="shared" si="11"/>
        <v>28.77</v>
      </c>
      <c r="L27" s="41">
        <f t="shared" si="12"/>
        <v>41.459999999999994</v>
      </c>
      <c r="M27" s="39">
        <f>C27*1.42/150</f>
        <v>1.42</v>
      </c>
      <c r="N27" s="42">
        <f>D27*2.83/180</f>
        <v>2.83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9" x14ac:dyDescent="0.25">
      <c r="A28" s="17">
        <v>248</v>
      </c>
      <c r="B28" s="19" t="s">
        <v>79</v>
      </c>
      <c r="C28" s="39">
        <v>100</v>
      </c>
      <c r="D28" s="42">
        <v>100</v>
      </c>
      <c r="E28" s="37">
        <v>0.4</v>
      </c>
      <c r="F28" s="41">
        <v>0.4</v>
      </c>
      <c r="G28" s="37">
        <v>0.4</v>
      </c>
      <c r="H28" s="41">
        <v>0.4</v>
      </c>
      <c r="I28" s="37">
        <v>9.8000000000000007</v>
      </c>
      <c r="J28" s="41">
        <v>9.8000000000000007</v>
      </c>
      <c r="K28" s="37">
        <f t="shared" si="11"/>
        <v>44.400000000000006</v>
      </c>
      <c r="L28" s="41">
        <f t="shared" si="12"/>
        <v>44.400000000000006</v>
      </c>
      <c r="M28" s="37">
        <v>10</v>
      </c>
      <c r="N28" s="41">
        <v>10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9" x14ac:dyDescent="0.25">
      <c r="A29" s="17"/>
      <c r="B29" s="27" t="s">
        <v>80</v>
      </c>
      <c r="C29" s="130">
        <f>SUM(C25:C28)</f>
        <v>350</v>
      </c>
      <c r="D29" s="33">
        <f>SUM(D25:D28)</f>
        <v>390</v>
      </c>
      <c r="E29" s="31">
        <f t="shared" ref="E29:N29" si="13">SUM(E25:E28)</f>
        <v>11.65</v>
      </c>
      <c r="F29" s="40">
        <f>SUM(F25:F28)</f>
        <v>13.214</v>
      </c>
      <c r="G29" s="31">
        <f t="shared" si="13"/>
        <v>9.2979999999999983</v>
      </c>
      <c r="H29" s="33">
        <f t="shared" si="13"/>
        <v>10.383999999999999</v>
      </c>
      <c r="I29" s="31">
        <f t="shared" si="13"/>
        <v>37.909000000000006</v>
      </c>
      <c r="J29" s="40">
        <f t="shared" si="13"/>
        <v>43.441999999999993</v>
      </c>
      <c r="K29" s="31">
        <f t="shared" si="13"/>
        <v>281.91800000000001</v>
      </c>
      <c r="L29" s="33">
        <f t="shared" si="13"/>
        <v>320.07999999999993</v>
      </c>
      <c r="M29" s="31">
        <f t="shared" si="13"/>
        <v>11.651999999999999</v>
      </c>
      <c r="N29" s="40">
        <f t="shared" si="13"/>
        <v>13.081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9" x14ac:dyDescent="0.25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O30" s="125"/>
      <c r="P30" s="5"/>
      <c r="Q30" s="111"/>
      <c r="R30" s="111"/>
      <c r="S30" s="111"/>
      <c r="T30" s="111"/>
      <c r="V30" s="5"/>
      <c r="W30" s="111"/>
      <c r="X30" s="111"/>
      <c r="Y30" s="111"/>
      <c r="Z30" s="111"/>
      <c r="AA30" s="5"/>
      <c r="AB30" s="5"/>
      <c r="AC30" s="5"/>
    </row>
    <row r="31" spans="1:29" x14ac:dyDescent="0.25">
      <c r="A31" s="17"/>
      <c r="B31" s="106" t="s">
        <v>59</v>
      </c>
      <c r="C31" s="105"/>
      <c r="D31" s="105"/>
      <c r="E31" s="31">
        <f>E11+E14+E23+E29</f>
        <v>45.627999999999993</v>
      </c>
      <c r="F31" s="40">
        <f t="shared" ref="F31:N31" si="14">F11+F14+F23+F29</f>
        <v>53.855999999999995</v>
      </c>
      <c r="G31" s="31">
        <f t="shared" si="14"/>
        <v>46.004999999999995</v>
      </c>
      <c r="H31" s="40">
        <f t="shared" si="14"/>
        <v>53.114000000000004</v>
      </c>
      <c r="I31" s="31">
        <f t="shared" si="14"/>
        <v>172.93599999999998</v>
      </c>
      <c r="J31" s="40">
        <f t="shared" si="14"/>
        <v>208.04000000000002</v>
      </c>
      <c r="K31" s="31">
        <f t="shared" si="14"/>
        <v>1288.671</v>
      </c>
      <c r="L31" s="40">
        <f t="shared" si="14"/>
        <v>1525.9299999999998</v>
      </c>
      <c r="M31" s="31">
        <f t="shared" si="14"/>
        <v>39.726999999999997</v>
      </c>
      <c r="N31" s="40">
        <f t="shared" si="14"/>
        <v>47.588999999999999</v>
      </c>
      <c r="P31" s="132"/>
      <c r="Q31" s="5"/>
      <c r="R31" s="5"/>
      <c r="S31" s="5"/>
      <c r="T31" s="5"/>
      <c r="V31" s="133"/>
      <c r="W31" s="5"/>
      <c r="X31" s="5"/>
      <c r="Y31" s="5"/>
      <c r="Z31" s="5"/>
      <c r="AA31" s="5"/>
      <c r="AB31" s="5"/>
      <c r="AC31" s="5"/>
    </row>
    <row r="32" spans="1:29" x14ac:dyDescent="0.25">
      <c r="A32" s="117"/>
      <c r="B32" s="59" t="s">
        <v>174</v>
      </c>
      <c r="C32" s="60"/>
      <c r="D32" s="60"/>
      <c r="E32" s="110" t="s">
        <v>165</v>
      </c>
      <c r="F32" s="110" t="s">
        <v>166</v>
      </c>
      <c r="G32" s="110" t="s">
        <v>167</v>
      </c>
      <c r="H32" s="110" t="s">
        <v>168</v>
      </c>
      <c r="I32" s="110" t="s">
        <v>169</v>
      </c>
      <c r="J32" s="110" t="s">
        <v>170</v>
      </c>
      <c r="K32" s="110" t="s">
        <v>171</v>
      </c>
      <c r="L32" s="110" t="s">
        <v>172</v>
      </c>
      <c r="M32" s="110" t="s">
        <v>188</v>
      </c>
      <c r="N32" s="110" t="s">
        <v>189</v>
      </c>
      <c r="P32" s="132"/>
      <c r="V32" s="67"/>
      <c r="W32" s="5"/>
      <c r="X32" s="5"/>
      <c r="Y32" s="5"/>
      <c r="Z32" s="5"/>
      <c r="AA32" s="5"/>
      <c r="AB32" s="5"/>
      <c r="AC32" s="5"/>
    </row>
    <row r="33" spans="1:29" x14ac:dyDescent="0.25">
      <c r="A33" s="120"/>
      <c r="B33" s="121"/>
      <c r="C33" s="122"/>
      <c r="D33" s="122"/>
      <c r="E33" s="123"/>
      <c r="F33" s="123"/>
      <c r="G33" s="123"/>
      <c r="H33" s="123"/>
      <c r="I33" s="123"/>
      <c r="J33" s="123"/>
      <c r="K33" s="123"/>
      <c r="L33" s="123"/>
      <c r="M33" s="122"/>
      <c r="N33" s="122"/>
      <c r="P33" s="126"/>
      <c r="V33" s="111"/>
      <c r="W33" s="5"/>
      <c r="X33" s="5"/>
      <c r="Y33" s="5"/>
      <c r="Z33" s="5"/>
      <c r="AA33" s="5"/>
      <c r="AB33" s="5"/>
      <c r="AC33" s="5"/>
    </row>
    <row r="34" spans="1:29" x14ac:dyDescent="0.25">
      <c r="A34" s="53"/>
      <c r="B34" s="118"/>
      <c r="C34" s="61"/>
      <c r="D34" s="61"/>
      <c r="E34" s="119"/>
      <c r="F34" s="119"/>
      <c r="G34" s="119"/>
      <c r="H34" s="119"/>
      <c r="I34" s="119"/>
      <c r="J34" s="119"/>
      <c r="K34" s="119"/>
      <c r="L34" s="119"/>
      <c r="M34" s="61"/>
      <c r="N34" s="61"/>
      <c r="P34" s="126"/>
      <c r="V34" s="111"/>
      <c r="W34" s="5"/>
      <c r="X34" s="5"/>
      <c r="Y34" s="5"/>
      <c r="Z34" s="5"/>
      <c r="AA34" s="5"/>
      <c r="AB34" s="5"/>
      <c r="AC34" s="5"/>
    </row>
    <row r="35" spans="1:29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P35" s="126"/>
      <c r="V35" s="111"/>
      <c r="W35" s="5"/>
      <c r="X35" s="5"/>
      <c r="Y35" s="5"/>
      <c r="Z35" s="5"/>
      <c r="AA35" s="5"/>
      <c r="AB35" s="5"/>
      <c r="AC35" s="5"/>
    </row>
    <row r="36" spans="1:29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P36" s="127"/>
      <c r="V36" s="128"/>
      <c r="W36" s="5"/>
      <c r="X36" s="5"/>
      <c r="Y36" s="5"/>
      <c r="Z36" s="5"/>
      <c r="AA36" s="5"/>
      <c r="AB36" s="5"/>
      <c r="AC36" s="5"/>
    </row>
    <row r="37" spans="1:29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P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29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1:29" x14ac:dyDescent="0.25">
      <c r="A41" s="53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1:29" x14ac:dyDescent="0.25">
      <c r="A42" s="66"/>
      <c r="B42" s="66"/>
      <c r="C42" s="6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29" x14ac:dyDescent="0.25">
      <c r="A43" s="5"/>
      <c r="B43" s="5"/>
      <c r="C43" s="67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"/>
    </row>
    <row r="44" spans="1:29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9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9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29" x14ac:dyDescent="0.25">
      <c r="A47" s="5"/>
      <c r="B47" s="5"/>
      <c r="C47" s="67"/>
      <c r="D47" s="5"/>
      <c r="I47" s="28"/>
      <c r="J47" s="28"/>
      <c r="K47" s="28"/>
      <c r="L47" s="28"/>
      <c r="M47" s="28"/>
      <c r="N47" s="28"/>
    </row>
    <row r="48" spans="1:29" x14ac:dyDescent="0.25">
      <c r="A48" s="5"/>
      <c r="B48" s="5"/>
      <c r="C48" s="67"/>
      <c r="D48" s="5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B73" s="5"/>
      <c r="C73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E4:F4"/>
    <mergeCell ref="G4:H4"/>
    <mergeCell ref="I4:J4"/>
    <mergeCell ref="K3:L4"/>
    <mergeCell ref="M3:N4"/>
    <mergeCell ref="A6:N6"/>
    <mergeCell ref="A24:N24"/>
    <mergeCell ref="A30:N30"/>
    <mergeCell ref="A12:N12"/>
    <mergeCell ref="A15:N15"/>
  </mergeCells>
  <pageMargins left="0.32291666666666669" right="0.7" top="0.30208333333333331" bottom="0.44791666666666669" header="0.3" footer="0.3"/>
  <pageSetup paperSize="9" orientation="landscape" horizontalDpi="4294967293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E37" sqref="E37"/>
    </sheetView>
  </sheetViews>
  <sheetFormatPr defaultRowHeight="15" x14ac:dyDescent="0.25"/>
  <cols>
    <col min="1" max="1" width="4.85546875" style="113" customWidth="1"/>
    <col min="2" max="2" width="37" style="113" customWidth="1"/>
    <col min="3" max="3" width="7.28515625" style="113" customWidth="1"/>
    <col min="4" max="4" width="6.5703125" style="113" customWidth="1"/>
    <col min="5" max="5" width="6.7109375" style="113" customWidth="1"/>
    <col min="6" max="6" width="6.85546875" style="113" customWidth="1"/>
    <col min="7" max="7" width="6.42578125" style="113" customWidth="1"/>
    <col min="8" max="8" width="6.5703125" style="113" customWidth="1"/>
    <col min="9" max="10" width="8" style="113" customWidth="1"/>
    <col min="11" max="11" width="9.85546875" style="113" customWidth="1"/>
    <col min="12" max="12" width="10" style="113" customWidth="1"/>
    <col min="13" max="13" width="6.5703125" style="113" customWidth="1"/>
    <col min="14" max="14" width="7.28515625" style="113" customWidth="1"/>
    <col min="15" max="15" width="20.7109375" style="113" customWidth="1"/>
    <col min="16" max="16" width="7.28515625" style="113" customWidth="1"/>
    <col min="17" max="20" width="9.140625" style="113"/>
    <col min="21" max="21" width="19.7109375" style="113" customWidth="1"/>
    <col min="22" max="22" width="7.7109375" style="113" customWidth="1"/>
    <col min="23" max="23" width="9.140625" style="113"/>
    <col min="24" max="24" width="7.7109375" style="113" customWidth="1"/>
    <col min="25" max="16384" width="9.140625" style="113"/>
  </cols>
  <sheetData>
    <row r="1" spans="1:26" ht="15.75" x14ac:dyDescent="0.25">
      <c r="A1" s="243" t="s">
        <v>46</v>
      </c>
      <c r="B1" s="243"/>
      <c r="C1" s="243" t="s">
        <v>161</v>
      </c>
      <c r="D1" s="243"/>
      <c r="E1" s="243"/>
      <c r="F1" s="243"/>
      <c r="G1" s="243"/>
      <c r="H1" s="24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A2" s="271" t="s">
        <v>47</v>
      </c>
      <c r="B2" s="271"/>
      <c r="C2" s="271" t="s">
        <v>138</v>
      </c>
      <c r="D2" s="271"/>
      <c r="E2" s="271"/>
      <c r="F2" s="271"/>
      <c r="G2" s="271"/>
      <c r="H2" s="271"/>
      <c r="O2" s="66"/>
      <c r="P2" s="66"/>
      <c r="Q2" s="5"/>
      <c r="R2" s="5"/>
      <c r="S2" s="5"/>
      <c r="T2" s="5"/>
      <c r="U2" s="66"/>
      <c r="V2" s="66"/>
      <c r="W2" s="5"/>
      <c r="X2" s="5"/>
      <c r="Y2" s="5"/>
      <c r="Z2" s="5"/>
    </row>
    <row r="3" spans="1:26" ht="15" customHeight="1" x14ac:dyDescent="0.25">
      <c r="A3" s="245" t="s">
        <v>0</v>
      </c>
      <c r="B3" s="246" t="s">
        <v>1</v>
      </c>
      <c r="C3" s="246" t="s">
        <v>40</v>
      </c>
      <c r="D3" s="246"/>
      <c r="E3" s="248" t="s">
        <v>41</v>
      </c>
      <c r="F3" s="248"/>
      <c r="G3" s="248"/>
      <c r="H3" s="248"/>
      <c r="I3" s="248"/>
      <c r="J3" s="248"/>
      <c r="K3" s="245" t="s">
        <v>38</v>
      </c>
      <c r="L3" s="245"/>
      <c r="M3" s="245" t="s">
        <v>39</v>
      </c>
      <c r="N3" s="245"/>
      <c r="O3" s="5"/>
      <c r="P3" s="67"/>
      <c r="Q3" s="111"/>
      <c r="R3" s="111"/>
      <c r="S3" s="111"/>
      <c r="T3" s="111"/>
      <c r="U3" s="5"/>
      <c r="V3" s="67"/>
      <c r="W3" s="111"/>
      <c r="X3" s="111"/>
      <c r="Y3" s="111"/>
      <c r="Z3" s="111"/>
    </row>
    <row r="4" spans="1:26" x14ac:dyDescent="0.25">
      <c r="A4" s="245"/>
      <c r="B4" s="246"/>
      <c r="C4" s="246"/>
      <c r="D4" s="246"/>
      <c r="E4" s="248" t="s">
        <v>36</v>
      </c>
      <c r="F4" s="248"/>
      <c r="G4" s="245" t="s">
        <v>35</v>
      </c>
      <c r="H4" s="245"/>
      <c r="I4" s="248" t="s">
        <v>37</v>
      </c>
      <c r="J4" s="248"/>
      <c r="K4" s="245"/>
      <c r="L4" s="245"/>
      <c r="M4" s="245"/>
      <c r="N4" s="245"/>
      <c r="O4" s="5"/>
      <c r="P4" s="67"/>
      <c r="Q4" s="111"/>
      <c r="R4" s="111"/>
      <c r="S4" s="111"/>
      <c r="T4" s="111"/>
      <c r="U4" s="5"/>
      <c r="V4" s="67"/>
      <c r="W4" s="111"/>
      <c r="X4" s="111"/>
      <c r="Y4" s="111"/>
      <c r="Z4" s="111"/>
    </row>
    <row r="5" spans="1:26" x14ac:dyDescent="0.25">
      <c r="A5" s="245"/>
      <c r="B5" s="246"/>
      <c r="C5" s="31" t="s">
        <v>42</v>
      </c>
      <c r="D5" s="33" t="s">
        <v>34</v>
      </c>
      <c r="E5" s="31" t="s">
        <v>42</v>
      </c>
      <c r="F5" s="33" t="s">
        <v>34</v>
      </c>
      <c r="G5" s="31" t="s">
        <v>42</v>
      </c>
      <c r="H5" s="33" t="s">
        <v>34</v>
      </c>
      <c r="I5" s="31" t="s">
        <v>42</v>
      </c>
      <c r="J5" s="33" t="s">
        <v>34</v>
      </c>
      <c r="K5" s="31" t="s">
        <v>42</v>
      </c>
      <c r="L5" s="33" t="s">
        <v>34</v>
      </c>
      <c r="M5" s="31" t="s">
        <v>42</v>
      </c>
      <c r="N5" s="33" t="s">
        <v>34</v>
      </c>
      <c r="O5" s="5"/>
      <c r="P5" s="67"/>
      <c r="Q5" s="111"/>
      <c r="R5" s="111"/>
      <c r="S5" s="111"/>
      <c r="T5" s="111"/>
      <c r="U5" s="5"/>
      <c r="V5" s="67"/>
      <c r="W5" s="111"/>
      <c r="X5" s="111"/>
      <c r="Y5" s="111"/>
      <c r="Z5" s="111"/>
    </row>
    <row r="6" spans="1:26" x14ac:dyDescent="0.25">
      <c r="A6" s="269" t="s">
        <v>43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5"/>
      <c r="P6" s="67"/>
      <c r="Q6" s="111"/>
      <c r="R6" s="111"/>
      <c r="S6" s="111"/>
      <c r="T6" s="111"/>
      <c r="U6" s="5"/>
      <c r="V6" s="67"/>
      <c r="W6" s="111"/>
      <c r="X6" s="111"/>
      <c r="Y6" s="111"/>
      <c r="Z6" s="111"/>
    </row>
    <row r="7" spans="1:26" x14ac:dyDescent="0.25">
      <c r="A7" s="17">
        <v>111</v>
      </c>
      <c r="B7" s="18" t="s">
        <v>177</v>
      </c>
      <c r="C7" s="39">
        <v>160</v>
      </c>
      <c r="D7" s="51">
        <v>180</v>
      </c>
      <c r="E7" s="37">
        <f>C7*1.9/100</f>
        <v>3.04</v>
      </c>
      <c r="F7" s="41">
        <f>D7*1.9/100</f>
        <v>3.42</v>
      </c>
      <c r="G7" s="37">
        <f>C7*3.34/100</f>
        <v>5.3439999999999994</v>
      </c>
      <c r="H7" s="41">
        <f>D7*3.34/100</f>
        <v>6.0119999999999996</v>
      </c>
      <c r="I7" s="37">
        <f>C7*9.52/100</f>
        <v>15.231999999999998</v>
      </c>
      <c r="J7" s="41">
        <f>D7*9.52/100</f>
        <v>17.135999999999999</v>
      </c>
      <c r="K7" s="37">
        <f t="shared" ref="K7:L9" si="0">E7*4+G7*9+I7*4</f>
        <v>121.184</v>
      </c>
      <c r="L7" s="41">
        <f t="shared" si="0"/>
        <v>136.33199999999999</v>
      </c>
      <c r="M7" s="49">
        <v>0</v>
      </c>
      <c r="N7" s="44">
        <v>0</v>
      </c>
      <c r="O7" s="5"/>
      <c r="P7" s="67"/>
      <c r="Q7" s="111"/>
      <c r="R7" s="111"/>
      <c r="S7" s="111"/>
      <c r="T7" s="111"/>
      <c r="U7" s="5"/>
      <c r="V7" s="67"/>
      <c r="W7" s="111"/>
      <c r="X7" s="111"/>
      <c r="Y7" s="111"/>
      <c r="Z7" s="111"/>
    </row>
    <row r="8" spans="1:26" x14ac:dyDescent="0.25">
      <c r="A8" s="17">
        <v>2</v>
      </c>
      <c r="B8" s="16" t="s">
        <v>140</v>
      </c>
      <c r="C8" s="38">
        <v>55</v>
      </c>
      <c r="D8" s="136">
        <v>55</v>
      </c>
      <c r="E8" s="38">
        <v>2.4900000000000002</v>
      </c>
      <c r="F8" s="56">
        <v>2.4900000000000002</v>
      </c>
      <c r="G8" s="37">
        <v>3.93</v>
      </c>
      <c r="H8" s="42">
        <v>3.93</v>
      </c>
      <c r="I8" s="39">
        <v>27.56</v>
      </c>
      <c r="J8" s="42">
        <v>27.56</v>
      </c>
      <c r="K8" s="39">
        <f t="shared" si="0"/>
        <v>155.57</v>
      </c>
      <c r="L8" s="42">
        <f t="shared" si="0"/>
        <v>155.57</v>
      </c>
      <c r="M8" s="37">
        <v>0.1</v>
      </c>
      <c r="N8" s="41">
        <v>0.1</v>
      </c>
      <c r="O8" s="5"/>
      <c r="P8" s="67"/>
      <c r="Q8" s="111"/>
      <c r="R8" s="111"/>
      <c r="S8" s="111"/>
      <c r="T8" s="111"/>
      <c r="U8" s="5"/>
      <c r="V8" s="67"/>
      <c r="W8" s="111"/>
      <c r="X8" s="111"/>
      <c r="Y8" s="111"/>
      <c r="Z8" s="111"/>
    </row>
    <row r="9" spans="1:26" x14ac:dyDescent="0.25">
      <c r="A9" s="17">
        <v>264</v>
      </c>
      <c r="B9" s="19" t="s">
        <v>142</v>
      </c>
      <c r="C9" s="39">
        <v>150</v>
      </c>
      <c r="D9" s="51">
        <v>180</v>
      </c>
      <c r="E9" s="37">
        <v>2.34</v>
      </c>
      <c r="F9" s="41">
        <v>2.85</v>
      </c>
      <c r="G9" s="37">
        <v>2</v>
      </c>
      <c r="H9" s="41">
        <v>2.41</v>
      </c>
      <c r="I9" s="39">
        <v>10.63</v>
      </c>
      <c r="J9" s="41">
        <v>14.36</v>
      </c>
      <c r="K9" s="39">
        <f t="shared" si="0"/>
        <v>69.88</v>
      </c>
      <c r="L9" s="42">
        <f t="shared" si="0"/>
        <v>90.53</v>
      </c>
      <c r="M9" s="37">
        <v>0.98</v>
      </c>
      <c r="N9" s="41">
        <v>1.17</v>
      </c>
      <c r="O9" s="5"/>
      <c r="P9" s="67"/>
      <c r="Q9" s="111"/>
      <c r="R9" s="111"/>
      <c r="S9" s="111"/>
      <c r="T9" s="111"/>
      <c r="U9" s="5"/>
      <c r="V9" s="67"/>
      <c r="W9" s="111"/>
      <c r="X9" s="111"/>
      <c r="Y9" s="111"/>
      <c r="Z9" s="111"/>
    </row>
    <row r="10" spans="1:26" x14ac:dyDescent="0.25">
      <c r="A10" s="26"/>
      <c r="B10" s="27" t="s">
        <v>81</v>
      </c>
      <c r="C10" s="130">
        <f>SUM(C7:C9)</f>
        <v>365</v>
      </c>
      <c r="D10" s="33">
        <f t="shared" ref="D10:N10" si="1">SUM(D7:D9)</f>
        <v>415</v>
      </c>
      <c r="E10" s="130">
        <f t="shared" si="1"/>
        <v>7.87</v>
      </c>
      <c r="F10" s="33">
        <f t="shared" si="1"/>
        <v>8.76</v>
      </c>
      <c r="G10" s="130">
        <f t="shared" si="1"/>
        <v>11.273999999999999</v>
      </c>
      <c r="H10" s="33">
        <f t="shared" si="1"/>
        <v>12.352</v>
      </c>
      <c r="I10" s="130">
        <f t="shared" si="1"/>
        <v>53.421999999999997</v>
      </c>
      <c r="J10" s="33">
        <f t="shared" si="1"/>
        <v>59.055999999999997</v>
      </c>
      <c r="K10" s="130">
        <f t="shared" si="1"/>
        <v>346.63400000000001</v>
      </c>
      <c r="L10" s="33">
        <f t="shared" si="1"/>
        <v>382.43200000000002</v>
      </c>
      <c r="M10" s="130">
        <f t="shared" si="1"/>
        <v>1.08</v>
      </c>
      <c r="N10" s="33">
        <f t="shared" si="1"/>
        <v>1.27</v>
      </c>
      <c r="O10" s="5"/>
      <c r="P10" s="67"/>
      <c r="Q10" s="111"/>
      <c r="R10" s="111"/>
      <c r="S10" s="111"/>
      <c r="T10" s="111"/>
      <c r="U10" s="5"/>
      <c r="V10" s="67"/>
      <c r="W10" s="111"/>
      <c r="X10" s="111"/>
      <c r="Y10" s="111"/>
      <c r="Z10" s="111"/>
    </row>
    <row r="11" spans="1:26" x14ac:dyDescent="0.25">
      <c r="A11" s="268" t="s">
        <v>26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5"/>
      <c r="P11" s="67"/>
      <c r="Q11" s="111"/>
      <c r="R11" s="111"/>
      <c r="S11" s="111"/>
      <c r="T11" s="111"/>
      <c r="U11" s="5"/>
      <c r="V11" s="67"/>
      <c r="W11" s="111"/>
      <c r="X11" s="111"/>
      <c r="Y11" s="111"/>
      <c r="Z11" s="111"/>
    </row>
    <row r="12" spans="1:26" x14ac:dyDescent="0.25">
      <c r="A12" s="17">
        <v>268</v>
      </c>
      <c r="B12" s="19" t="s">
        <v>44</v>
      </c>
      <c r="C12" s="39">
        <v>150</v>
      </c>
      <c r="D12" s="51">
        <v>180</v>
      </c>
      <c r="E12" s="49">
        <v>0</v>
      </c>
      <c r="F12" s="44">
        <v>0</v>
      </c>
      <c r="G12" s="49">
        <v>0</v>
      </c>
      <c r="H12" s="44">
        <v>0</v>
      </c>
      <c r="I12" s="39">
        <f>C12*15.9/100</f>
        <v>23.85</v>
      </c>
      <c r="J12" s="42">
        <f>D12*15.9/100</f>
        <v>28.62</v>
      </c>
      <c r="K12" s="39">
        <f t="shared" ref="K12:L13" si="2">E12*4+G12*9+I12*4</f>
        <v>95.4</v>
      </c>
      <c r="L12" s="42">
        <f t="shared" si="2"/>
        <v>114.48</v>
      </c>
      <c r="M12" s="49">
        <v>3</v>
      </c>
      <c r="N12" s="42">
        <v>3.6</v>
      </c>
      <c r="O12" s="5"/>
      <c r="P12" s="67"/>
      <c r="Q12" s="111"/>
      <c r="R12" s="111"/>
      <c r="S12" s="111"/>
      <c r="T12" s="111"/>
      <c r="U12" s="5"/>
      <c r="V12" s="67"/>
      <c r="W12" s="111"/>
      <c r="X12" s="111"/>
      <c r="Y12" s="111"/>
      <c r="Z12" s="111"/>
    </row>
    <row r="13" spans="1:26" x14ac:dyDescent="0.25">
      <c r="A13" s="17"/>
      <c r="B13" s="27" t="s">
        <v>82</v>
      </c>
      <c r="C13" s="130">
        <f>SUM(C12)</f>
        <v>150</v>
      </c>
      <c r="D13" s="57">
        <f>SUM(D12)</f>
        <v>180</v>
      </c>
      <c r="E13" s="31">
        <f t="shared" ref="E13:H13" si="3">SUM(E12)</f>
        <v>0</v>
      </c>
      <c r="F13" s="40">
        <f t="shared" si="3"/>
        <v>0</v>
      </c>
      <c r="G13" s="31">
        <f t="shared" si="3"/>
        <v>0</v>
      </c>
      <c r="H13" s="40">
        <f t="shared" si="3"/>
        <v>0</v>
      </c>
      <c r="I13" s="31">
        <f>SUM(I12)</f>
        <v>23.85</v>
      </c>
      <c r="J13" s="33">
        <f t="shared" ref="J13" si="4">SUM(J12)</f>
        <v>28.62</v>
      </c>
      <c r="K13" s="130">
        <f t="shared" si="2"/>
        <v>95.4</v>
      </c>
      <c r="L13" s="33">
        <f t="shared" si="2"/>
        <v>114.48</v>
      </c>
      <c r="M13" s="31">
        <f t="shared" ref="M13:N13" si="5">SUM(M12)</f>
        <v>3</v>
      </c>
      <c r="N13" s="33">
        <f t="shared" si="5"/>
        <v>3.6</v>
      </c>
      <c r="O13" s="5"/>
      <c r="P13" s="67"/>
      <c r="Q13" s="111"/>
      <c r="R13" s="111"/>
      <c r="S13" s="111"/>
      <c r="T13" s="111"/>
      <c r="U13" s="5"/>
      <c r="V13" s="67"/>
      <c r="W13" s="111"/>
      <c r="X13" s="111"/>
      <c r="Y13" s="111"/>
      <c r="Z13" s="111"/>
    </row>
    <row r="14" spans="1:26" x14ac:dyDescent="0.25">
      <c r="A14" s="268" t="s">
        <v>45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5"/>
      <c r="P14" s="67"/>
      <c r="Q14" s="111"/>
      <c r="R14" s="111"/>
      <c r="S14" s="111"/>
      <c r="T14" s="111"/>
      <c r="U14" s="5"/>
      <c r="V14" s="67"/>
      <c r="W14" s="111"/>
      <c r="X14" s="111"/>
      <c r="Y14" s="111"/>
      <c r="Z14" s="111"/>
    </row>
    <row r="15" spans="1:26" x14ac:dyDescent="0.25">
      <c r="A15" s="17">
        <v>30</v>
      </c>
      <c r="B15" s="19" t="s">
        <v>221</v>
      </c>
      <c r="C15" s="39">
        <v>40</v>
      </c>
      <c r="D15" s="51">
        <v>60</v>
      </c>
      <c r="E15" s="37">
        <v>0.42</v>
      </c>
      <c r="F15" s="41">
        <v>0.65</v>
      </c>
      <c r="G15" s="37">
        <v>2.8</v>
      </c>
      <c r="H15" s="41">
        <v>4.0999999999999996</v>
      </c>
      <c r="I15" s="39">
        <v>1.37</v>
      </c>
      <c r="J15" s="42">
        <v>2.1</v>
      </c>
      <c r="K15" s="37">
        <v>29.12</v>
      </c>
      <c r="L15" s="41">
        <v>43.7</v>
      </c>
      <c r="M15" s="37">
        <v>8.85</v>
      </c>
      <c r="N15" s="41">
        <v>13.2</v>
      </c>
      <c r="O15" s="5"/>
      <c r="P15" s="67"/>
      <c r="Q15" s="111"/>
      <c r="R15" s="111"/>
      <c r="S15" s="111"/>
      <c r="T15" s="111"/>
      <c r="U15" s="5"/>
      <c r="V15" s="67"/>
      <c r="W15" s="111"/>
      <c r="X15" s="111"/>
      <c r="Y15" s="111"/>
      <c r="Z15" s="111"/>
    </row>
    <row r="16" spans="1:26" x14ac:dyDescent="0.25">
      <c r="A16" s="17">
        <v>53</v>
      </c>
      <c r="B16" s="19" t="s">
        <v>178</v>
      </c>
      <c r="C16" s="39">
        <v>150</v>
      </c>
      <c r="D16" s="51">
        <v>200</v>
      </c>
      <c r="E16" s="37">
        <f>C16*0.82/100</f>
        <v>1.2299999999999998</v>
      </c>
      <c r="F16" s="41">
        <f>D16*0.82/100</f>
        <v>1.64</v>
      </c>
      <c r="G16" s="37">
        <f>C16*2/100</f>
        <v>3</v>
      </c>
      <c r="H16" s="41">
        <f>D16*2/100</f>
        <v>4</v>
      </c>
      <c r="I16" s="37">
        <f>C16*5.64/100</f>
        <v>8.4600000000000009</v>
      </c>
      <c r="J16" s="41">
        <f>D16*5.64/100</f>
        <v>11.28</v>
      </c>
      <c r="K16" s="37">
        <f t="shared" ref="K16:L23" si="6">E16*4+G16*9+I16*4</f>
        <v>65.760000000000005</v>
      </c>
      <c r="L16" s="41">
        <f t="shared" ref="L16:L23" si="7">F16*4+H16*9+J16*4</f>
        <v>87.68</v>
      </c>
      <c r="M16" s="39">
        <f>C16*3.52/100</f>
        <v>5.28</v>
      </c>
      <c r="N16" s="41">
        <f>D16*3.52/100</f>
        <v>7.04</v>
      </c>
      <c r="O16" s="5"/>
      <c r="P16" s="67"/>
      <c r="Q16" s="111"/>
      <c r="R16" s="111"/>
      <c r="S16" s="111"/>
      <c r="T16" s="111"/>
      <c r="U16" s="5"/>
      <c r="V16" s="67"/>
      <c r="W16" s="111"/>
      <c r="X16" s="111"/>
      <c r="Y16" s="111"/>
      <c r="Z16" s="111"/>
    </row>
    <row r="17" spans="1:26" x14ac:dyDescent="0.25">
      <c r="A17" s="54"/>
      <c r="B17" s="137" t="s">
        <v>157</v>
      </c>
      <c r="C17" s="39">
        <v>20</v>
      </c>
      <c r="D17" s="42">
        <v>24</v>
      </c>
      <c r="E17" s="39">
        <f>C17*13.56/60</f>
        <v>4.5199999999999996</v>
      </c>
      <c r="F17" s="41">
        <f>D17*13.56/60</f>
        <v>5.4240000000000004</v>
      </c>
      <c r="G17" s="39">
        <f>C17*10.2/60</f>
        <v>3.4</v>
      </c>
      <c r="H17" s="42">
        <f>D17*10.2/60</f>
        <v>4.08</v>
      </c>
      <c r="I17" s="49">
        <v>0</v>
      </c>
      <c r="J17" s="44">
        <v>0</v>
      </c>
      <c r="K17" s="37">
        <f t="shared" si="6"/>
        <v>48.679999999999993</v>
      </c>
      <c r="L17" s="41">
        <f t="shared" si="7"/>
        <v>58.415999999999997</v>
      </c>
      <c r="M17" s="49">
        <v>0</v>
      </c>
      <c r="N17" s="44">
        <v>0</v>
      </c>
      <c r="O17" s="5"/>
      <c r="P17" s="67"/>
      <c r="Q17" s="111"/>
      <c r="R17" s="111"/>
      <c r="S17" s="111"/>
      <c r="T17" s="111"/>
      <c r="U17" s="5"/>
      <c r="V17" s="67"/>
      <c r="W17" s="111"/>
      <c r="X17" s="111"/>
      <c r="Y17" s="111"/>
      <c r="Z17" s="111"/>
    </row>
    <row r="18" spans="1:26" x14ac:dyDescent="0.25">
      <c r="A18" s="54"/>
      <c r="B18" s="19" t="s">
        <v>56</v>
      </c>
      <c r="C18" s="39">
        <v>10</v>
      </c>
      <c r="D18" s="42">
        <v>10</v>
      </c>
      <c r="E18" s="39">
        <f>C18*2.6/100</f>
        <v>0.26</v>
      </c>
      <c r="F18" s="42">
        <f>D18*2.6/100</f>
        <v>0.26</v>
      </c>
      <c r="G18" s="39">
        <f>C18*15/100</f>
        <v>1.5</v>
      </c>
      <c r="H18" s="42">
        <f>D18*15/100</f>
        <v>1.5</v>
      </c>
      <c r="I18" s="39">
        <f>C18*3.6/100</f>
        <v>0.36</v>
      </c>
      <c r="J18" s="42">
        <f>D18*3.6/100</f>
        <v>0.36</v>
      </c>
      <c r="K18" s="37">
        <f t="shared" si="6"/>
        <v>15.979999999999999</v>
      </c>
      <c r="L18" s="41">
        <f t="shared" si="6"/>
        <v>15.979999999999999</v>
      </c>
      <c r="M18" s="39">
        <f>C18*0.4/100</f>
        <v>0.04</v>
      </c>
      <c r="N18" s="42">
        <f>D18*0.4/100</f>
        <v>0.04</v>
      </c>
      <c r="O18" s="5"/>
      <c r="P18" s="67"/>
      <c r="Q18" s="111"/>
      <c r="R18" s="111"/>
      <c r="S18" s="111"/>
      <c r="T18" s="111"/>
      <c r="U18" s="5"/>
      <c r="V18" s="67"/>
      <c r="W18" s="111"/>
      <c r="X18" s="111"/>
      <c r="Y18" s="111"/>
      <c r="Z18" s="111"/>
    </row>
    <row r="19" spans="1:26" x14ac:dyDescent="0.25">
      <c r="A19" s="17">
        <v>120</v>
      </c>
      <c r="B19" s="19" t="s">
        <v>179</v>
      </c>
      <c r="C19" s="39">
        <v>150</v>
      </c>
      <c r="D19" s="42">
        <v>180</v>
      </c>
      <c r="E19" s="37">
        <f>C19*9.09/100</f>
        <v>13.635</v>
      </c>
      <c r="F19" s="41">
        <f>D19*9.09/100</f>
        <v>16.362000000000002</v>
      </c>
      <c r="G19" s="37">
        <f>C19*4.57/100</f>
        <v>6.8550000000000004</v>
      </c>
      <c r="H19" s="41">
        <f>D19*4.57/100</f>
        <v>8.2260000000000009</v>
      </c>
      <c r="I19" s="37">
        <f>C19*23.35/100</f>
        <v>35.024999999999999</v>
      </c>
      <c r="J19" s="42">
        <f>D19*23.35/100</f>
        <v>42.03</v>
      </c>
      <c r="K19" s="37">
        <f t="shared" si="6"/>
        <v>256.33500000000004</v>
      </c>
      <c r="L19" s="41">
        <f t="shared" si="7"/>
        <v>307.60200000000003</v>
      </c>
      <c r="M19" s="49">
        <f>C19*0/100</f>
        <v>0</v>
      </c>
      <c r="N19" s="44">
        <f>D19*0/100</f>
        <v>0</v>
      </c>
      <c r="O19" s="5"/>
      <c r="P19" s="67"/>
      <c r="Q19" s="111"/>
      <c r="R19" s="111"/>
      <c r="S19" s="111"/>
      <c r="T19" s="111"/>
      <c r="U19" s="5"/>
      <c r="V19" s="67"/>
      <c r="W19" s="111"/>
      <c r="X19" s="111"/>
      <c r="Y19" s="111"/>
      <c r="Z19" s="111"/>
    </row>
    <row r="20" spans="1:26" x14ac:dyDescent="0.25">
      <c r="A20" s="17">
        <v>187</v>
      </c>
      <c r="B20" s="19" t="s">
        <v>180</v>
      </c>
      <c r="C20" s="39">
        <v>60</v>
      </c>
      <c r="D20" s="42">
        <v>80</v>
      </c>
      <c r="E20" s="37">
        <v>8.8699999999999992</v>
      </c>
      <c r="F20" s="41">
        <v>11.78</v>
      </c>
      <c r="G20" s="37">
        <v>9.93</v>
      </c>
      <c r="H20" s="41">
        <v>12.91</v>
      </c>
      <c r="I20" s="37">
        <v>11.71</v>
      </c>
      <c r="J20" s="41">
        <v>14.9</v>
      </c>
      <c r="K20" s="37">
        <f t="shared" si="6"/>
        <v>171.69</v>
      </c>
      <c r="L20" s="41">
        <f t="shared" si="7"/>
        <v>222.91</v>
      </c>
      <c r="M20" s="39">
        <v>0.65</v>
      </c>
      <c r="N20" s="41">
        <v>1.1299999999999999</v>
      </c>
      <c r="O20" s="5"/>
      <c r="P20" s="67"/>
      <c r="Q20" s="111"/>
      <c r="R20" s="111"/>
      <c r="S20" s="111"/>
      <c r="T20" s="111"/>
      <c r="U20" s="5"/>
      <c r="V20" s="67"/>
      <c r="W20" s="111"/>
      <c r="X20" s="111"/>
      <c r="Y20" s="111"/>
      <c r="Z20" s="111"/>
    </row>
    <row r="21" spans="1:26" x14ac:dyDescent="0.25">
      <c r="A21" s="17">
        <v>235</v>
      </c>
      <c r="B21" s="19" t="s">
        <v>136</v>
      </c>
      <c r="C21" s="39">
        <v>30</v>
      </c>
      <c r="D21" s="42">
        <v>30</v>
      </c>
      <c r="E21" s="37">
        <f>C21*1.16/100</f>
        <v>0.34799999999999998</v>
      </c>
      <c r="F21" s="41">
        <f>D21*1.16/100</f>
        <v>0.34799999999999998</v>
      </c>
      <c r="G21" s="39">
        <f>C21*4.2/100</f>
        <v>1.26</v>
      </c>
      <c r="H21" s="42">
        <f>D21*4.2/100</f>
        <v>1.26</v>
      </c>
      <c r="I21" s="37">
        <f>C21*8.02/100</f>
        <v>2.4060000000000001</v>
      </c>
      <c r="J21" s="41">
        <f>D21*8.02/100</f>
        <v>2.4060000000000001</v>
      </c>
      <c r="K21" s="37">
        <f t="shared" si="6"/>
        <v>22.356000000000002</v>
      </c>
      <c r="L21" s="41">
        <f t="shared" si="7"/>
        <v>22.356000000000002</v>
      </c>
      <c r="M21" s="37">
        <f>C21*2.38/100</f>
        <v>0.71399999999999997</v>
      </c>
      <c r="N21" s="41">
        <f>D21*2.38/100</f>
        <v>0.71399999999999997</v>
      </c>
      <c r="O21" s="5"/>
      <c r="P21" s="67"/>
      <c r="Q21" s="111"/>
      <c r="R21" s="111"/>
      <c r="S21" s="111"/>
      <c r="T21" s="111"/>
      <c r="U21" s="5"/>
      <c r="V21" s="67"/>
      <c r="W21" s="111"/>
      <c r="X21" s="111"/>
      <c r="Y21" s="111"/>
      <c r="Z21" s="111"/>
    </row>
    <row r="22" spans="1:26" x14ac:dyDescent="0.25">
      <c r="A22" s="17">
        <v>253</v>
      </c>
      <c r="B22" s="19" t="s">
        <v>181</v>
      </c>
      <c r="C22" s="39">
        <v>150</v>
      </c>
      <c r="D22" s="42">
        <v>180</v>
      </c>
      <c r="E22" s="37">
        <f>C22*0.22/100</f>
        <v>0.33</v>
      </c>
      <c r="F22" s="41">
        <f>D22*0.22/100</f>
        <v>0.39600000000000002</v>
      </c>
      <c r="G22" s="39">
        <f>C22*0.01/100</f>
        <v>1.4999999999999999E-2</v>
      </c>
      <c r="H22" s="42">
        <f>D22*0.01/100</f>
        <v>1.8000000000000002E-2</v>
      </c>
      <c r="I22" s="37">
        <f>C22*13.88/100</f>
        <v>20.82</v>
      </c>
      <c r="J22" s="41">
        <f>D22*13.88/100</f>
        <v>24.984000000000002</v>
      </c>
      <c r="K22" s="37">
        <f t="shared" si="6"/>
        <v>84.734999999999999</v>
      </c>
      <c r="L22" s="41">
        <f t="shared" si="7"/>
        <v>101.682</v>
      </c>
      <c r="M22" s="39">
        <f>C22*0.2/100</f>
        <v>0.3</v>
      </c>
      <c r="N22" s="42">
        <f>D22*0.2/100</f>
        <v>0.36</v>
      </c>
      <c r="O22" s="5"/>
      <c r="P22" s="67"/>
      <c r="Q22" s="111"/>
      <c r="R22" s="111"/>
      <c r="S22" s="111"/>
      <c r="T22" s="111"/>
      <c r="U22" s="5"/>
      <c r="V22" s="67"/>
      <c r="W22" s="111"/>
      <c r="X22" s="111"/>
      <c r="Y22" s="111"/>
      <c r="Z22" s="111"/>
    </row>
    <row r="23" spans="1:26" x14ac:dyDescent="0.25">
      <c r="A23" s="17"/>
      <c r="B23" s="19" t="s">
        <v>58</v>
      </c>
      <c r="C23" s="39">
        <v>40</v>
      </c>
      <c r="D23" s="42">
        <v>50</v>
      </c>
      <c r="E23" s="37">
        <f>C23*7.92/100</f>
        <v>3.1680000000000001</v>
      </c>
      <c r="F23" s="42">
        <f>D23*7.92/100</f>
        <v>3.96</v>
      </c>
      <c r="G23" s="37">
        <f>C23*1.32/100</f>
        <v>0.52800000000000002</v>
      </c>
      <c r="H23" s="42">
        <f>D23*1.32/100</f>
        <v>0.66</v>
      </c>
      <c r="I23" s="37">
        <f>C23*52.68/100</f>
        <v>21.071999999999999</v>
      </c>
      <c r="J23" s="42">
        <f>D23*52.68/100</f>
        <v>26.34</v>
      </c>
      <c r="K23" s="37">
        <f t="shared" si="6"/>
        <v>101.71199999999999</v>
      </c>
      <c r="L23" s="41">
        <f t="shared" si="7"/>
        <v>127.14</v>
      </c>
      <c r="M23" s="49">
        <v>0</v>
      </c>
      <c r="N23" s="44">
        <v>0</v>
      </c>
      <c r="O23" s="5"/>
      <c r="P23" s="67"/>
      <c r="Q23" s="111"/>
      <c r="R23" s="111"/>
      <c r="S23" s="111"/>
      <c r="T23" s="111"/>
      <c r="U23" s="5"/>
      <c r="V23" s="67"/>
      <c r="W23" s="111"/>
      <c r="X23" s="111"/>
      <c r="Y23" s="111"/>
      <c r="Z23" s="111"/>
    </row>
    <row r="24" spans="1:26" x14ac:dyDescent="0.25">
      <c r="A24" s="26"/>
      <c r="B24" s="27" t="s">
        <v>83</v>
      </c>
      <c r="C24" s="130">
        <f>SUM(C15:C23)</f>
        <v>650</v>
      </c>
      <c r="D24" s="33">
        <f t="shared" ref="D24:N24" si="8">SUM(D15:D23)</f>
        <v>814</v>
      </c>
      <c r="E24" s="31">
        <f t="shared" si="8"/>
        <v>32.780999999999992</v>
      </c>
      <c r="F24" s="40">
        <f t="shared" si="8"/>
        <v>40.82</v>
      </c>
      <c r="G24" s="130">
        <f t="shared" si="8"/>
        <v>29.288</v>
      </c>
      <c r="H24" s="33">
        <f t="shared" si="8"/>
        <v>36.753999999999998</v>
      </c>
      <c r="I24" s="31">
        <f t="shared" si="8"/>
        <v>101.22300000000001</v>
      </c>
      <c r="J24" s="40">
        <f t="shared" si="8"/>
        <v>124.4</v>
      </c>
      <c r="K24" s="31">
        <f t="shared" si="8"/>
        <v>796.36800000000005</v>
      </c>
      <c r="L24" s="40">
        <f t="shared" si="8"/>
        <v>987.46600000000001</v>
      </c>
      <c r="M24" s="31">
        <f t="shared" si="8"/>
        <v>15.834</v>
      </c>
      <c r="N24" s="40">
        <f t="shared" si="8"/>
        <v>22.483999999999995</v>
      </c>
      <c r="O24" s="5"/>
      <c r="P24" s="67"/>
      <c r="Q24" s="111"/>
      <c r="R24" s="111"/>
      <c r="S24" s="111"/>
      <c r="T24" s="111"/>
      <c r="U24" s="5"/>
      <c r="V24" s="67"/>
      <c r="W24" s="111"/>
      <c r="X24" s="111"/>
      <c r="Y24" s="111"/>
      <c r="Z24" s="111"/>
    </row>
    <row r="25" spans="1:26" x14ac:dyDescent="0.25">
      <c r="A25" s="269" t="s">
        <v>60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5"/>
      <c r="P25" s="67"/>
      <c r="Q25" s="111"/>
      <c r="R25" s="111"/>
      <c r="S25" s="111"/>
      <c r="T25" s="111"/>
      <c r="U25" s="5"/>
      <c r="V25" s="67"/>
      <c r="W25" s="111"/>
      <c r="X25" s="111"/>
      <c r="Y25" s="111"/>
      <c r="Z25" s="111"/>
    </row>
    <row r="26" spans="1:26" x14ac:dyDescent="0.25">
      <c r="A26" s="17">
        <v>131</v>
      </c>
      <c r="B26" s="19" t="s">
        <v>182</v>
      </c>
      <c r="C26" s="39">
        <v>60</v>
      </c>
      <c r="D26" s="42">
        <v>80</v>
      </c>
      <c r="E26" s="37">
        <f>C26*9.01/100</f>
        <v>5.4060000000000006</v>
      </c>
      <c r="F26" s="41">
        <f>D26*9.01/100</f>
        <v>7.2079999999999993</v>
      </c>
      <c r="G26" s="37">
        <f>C26*12.51/100</f>
        <v>7.5060000000000002</v>
      </c>
      <c r="H26" s="41">
        <f>D26*12.51/100</f>
        <v>10.007999999999999</v>
      </c>
      <c r="I26" s="37">
        <f>C26*2.24/100</f>
        <v>1.3440000000000001</v>
      </c>
      <c r="J26" s="41">
        <f>D26*2.24/100</f>
        <v>1.7920000000000003</v>
      </c>
      <c r="K26" s="37">
        <f t="shared" ref="K26:L29" si="9">E26*4+G26*9+I26*4</f>
        <v>94.554000000000002</v>
      </c>
      <c r="L26" s="41">
        <f t="shared" si="9"/>
        <v>126.07199999999999</v>
      </c>
      <c r="M26" s="37">
        <f>C26*0.49/100</f>
        <v>0.29399999999999998</v>
      </c>
      <c r="N26" s="41">
        <f>D26*0.49/100</f>
        <v>0.39200000000000002</v>
      </c>
      <c r="O26" s="5"/>
      <c r="P26" s="67"/>
      <c r="Q26" s="111"/>
      <c r="R26" s="111"/>
      <c r="S26" s="111"/>
      <c r="T26" s="111"/>
      <c r="U26" s="5"/>
      <c r="V26" s="67"/>
      <c r="W26" s="111"/>
      <c r="X26" s="111"/>
      <c r="Y26" s="111"/>
      <c r="Z26" s="111"/>
    </row>
    <row r="27" spans="1:26" x14ac:dyDescent="0.25">
      <c r="A27" s="17"/>
      <c r="B27" s="19" t="s">
        <v>58</v>
      </c>
      <c r="C27" s="39">
        <v>40</v>
      </c>
      <c r="D27" s="42">
        <v>50</v>
      </c>
      <c r="E27" s="37">
        <f>C27*7.92/100</f>
        <v>3.1680000000000001</v>
      </c>
      <c r="F27" s="42">
        <f>D27*7.92/100</f>
        <v>3.96</v>
      </c>
      <c r="G27" s="37">
        <f>C27*1.32/100</f>
        <v>0.52800000000000002</v>
      </c>
      <c r="H27" s="42">
        <f>D27*1.32/100</f>
        <v>0.66</v>
      </c>
      <c r="I27" s="37">
        <f>C27*52.68/100</f>
        <v>21.071999999999999</v>
      </c>
      <c r="J27" s="42">
        <f>D27*52.68/100</f>
        <v>26.34</v>
      </c>
      <c r="K27" s="37">
        <f t="shared" si="9"/>
        <v>101.71199999999999</v>
      </c>
      <c r="L27" s="41">
        <f t="shared" si="9"/>
        <v>127.14</v>
      </c>
      <c r="M27" s="49">
        <v>0</v>
      </c>
      <c r="N27" s="44">
        <v>0</v>
      </c>
      <c r="O27" s="5"/>
      <c r="P27" s="67"/>
      <c r="Q27" s="111"/>
      <c r="R27" s="111"/>
      <c r="S27" s="111"/>
      <c r="T27" s="111"/>
      <c r="U27" s="5"/>
      <c r="V27" s="67"/>
      <c r="W27" s="111"/>
      <c r="X27" s="111"/>
      <c r="Y27" s="111"/>
      <c r="Z27" s="111"/>
    </row>
    <row r="28" spans="1:26" x14ac:dyDescent="0.25">
      <c r="A28" s="17">
        <v>267</v>
      </c>
      <c r="B28" s="19" t="s">
        <v>101</v>
      </c>
      <c r="C28" s="39">
        <v>150</v>
      </c>
      <c r="D28" s="42">
        <v>180</v>
      </c>
      <c r="E28" s="39">
        <v>0.51</v>
      </c>
      <c r="F28" s="42">
        <v>0.61</v>
      </c>
      <c r="G28" s="39">
        <v>0.21</v>
      </c>
      <c r="H28" s="41">
        <v>0.25</v>
      </c>
      <c r="I28" s="37">
        <v>14.23</v>
      </c>
      <c r="J28" s="42">
        <v>18.670000000000002</v>
      </c>
      <c r="K28" s="37">
        <f t="shared" si="9"/>
        <v>60.85</v>
      </c>
      <c r="L28" s="41">
        <f t="shared" si="9"/>
        <v>79.37</v>
      </c>
      <c r="M28" s="49">
        <v>75</v>
      </c>
      <c r="N28" s="44">
        <v>90</v>
      </c>
      <c r="O28" s="5"/>
      <c r="P28" s="67"/>
      <c r="Q28" s="111"/>
      <c r="R28" s="111"/>
      <c r="S28" s="111"/>
      <c r="T28" s="111"/>
      <c r="U28" s="5"/>
      <c r="V28" s="67"/>
      <c r="W28" s="111"/>
      <c r="X28" s="111"/>
      <c r="Y28" s="111"/>
      <c r="Z28" s="111"/>
    </row>
    <row r="29" spans="1:26" x14ac:dyDescent="0.25">
      <c r="A29" s="17">
        <v>248</v>
      </c>
      <c r="B29" s="19" t="s">
        <v>147</v>
      </c>
      <c r="C29" s="39">
        <v>100</v>
      </c>
      <c r="D29" s="42">
        <v>100</v>
      </c>
      <c r="E29" s="37">
        <v>0.4</v>
      </c>
      <c r="F29" s="41">
        <v>0.4</v>
      </c>
      <c r="G29" s="37">
        <v>0.3</v>
      </c>
      <c r="H29" s="41">
        <v>0.3</v>
      </c>
      <c r="I29" s="37">
        <v>10.3</v>
      </c>
      <c r="J29" s="41">
        <v>10.3</v>
      </c>
      <c r="K29" s="37">
        <f t="shared" si="9"/>
        <v>45.5</v>
      </c>
      <c r="L29" s="41">
        <f t="shared" si="9"/>
        <v>45.5</v>
      </c>
      <c r="M29" s="49">
        <v>5</v>
      </c>
      <c r="N29" s="44">
        <v>5</v>
      </c>
      <c r="O29" s="66"/>
      <c r="P29" s="131"/>
      <c r="Q29" s="111"/>
      <c r="R29" s="111"/>
      <c r="S29" s="111"/>
      <c r="T29" s="111"/>
      <c r="U29" s="66"/>
      <c r="V29" s="67"/>
      <c r="W29" s="111"/>
      <c r="X29" s="111"/>
      <c r="Y29" s="111"/>
      <c r="Z29" s="111"/>
    </row>
    <row r="30" spans="1:26" x14ac:dyDescent="0.25">
      <c r="A30" s="17"/>
      <c r="B30" s="27" t="s">
        <v>80</v>
      </c>
      <c r="C30" s="130">
        <f t="shared" ref="C30:N30" si="10">SUM(C26:C29)</f>
        <v>350</v>
      </c>
      <c r="D30" s="33">
        <f t="shared" si="10"/>
        <v>410</v>
      </c>
      <c r="E30" s="31">
        <f t="shared" si="10"/>
        <v>9.4840000000000018</v>
      </c>
      <c r="F30" s="40">
        <f t="shared" si="10"/>
        <v>12.177999999999999</v>
      </c>
      <c r="G30" s="31">
        <f t="shared" si="10"/>
        <v>8.5440000000000023</v>
      </c>
      <c r="H30" s="40">
        <f t="shared" si="10"/>
        <v>11.218</v>
      </c>
      <c r="I30" s="31">
        <f t="shared" si="10"/>
        <v>46.945999999999998</v>
      </c>
      <c r="J30" s="40">
        <f t="shared" si="10"/>
        <v>57.102000000000004</v>
      </c>
      <c r="K30" s="31">
        <f t="shared" si="10"/>
        <v>302.61599999999999</v>
      </c>
      <c r="L30" s="33">
        <f t="shared" si="10"/>
        <v>378.08199999999999</v>
      </c>
      <c r="M30" s="31">
        <f t="shared" si="10"/>
        <v>80.293999999999997</v>
      </c>
      <c r="N30" s="40">
        <f t="shared" si="10"/>
        <v>95.391999999999996</v>
      </c>
      <c r="O30" s="66"/>
      <c r="P30" s="131"/>
      <c r="Q30" s="111"/>
      <c r="R30" s="111"/>
      <c r="S30" s="111"/>
      <c r="T30" s="111"/>
      <c r="U30" s="66"/>
      <c r="V30" s="67"/>
      <c r="W30" s="111"/>
      <c r="X30" s="111"/>
      <c r="Y30" s="111"/>
      <c r="Z30" s="111"/>
    </row>
    <row r="31" spans="1:26" x14ac:dyDescent="0.2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5"/>
      <c r="P31" s="5"/>
      <c r="Q31" s="111"/>
      <c r="R31" s="111"/>
      <c r="S31" s="111"/>
      <c r="T31" s="111"/>
      <c r="U31" s="5"/>
      <c r="V31" s="5"/>
      <c r="W31" s="111"/>
      <c r="X31" s="111"/>
      <c r="Y31" s="111"/>
      <c r="Z31" s="111"/>
    </row>
    <row r="32" spans="1:26" x14ac:dyDescent="0.25">
      <c r="A32" s="105"/>
      <c r="B32" s="106" t="s">
        <v>59</v>
      </c>
      <c r="C32" s="105"/>
      <c r="D32" s="105"/>
      <c r="E32" s="31">
        <f t="shared" ref="E32:N32" si="11">E10+E13+E24+E30</f>
        <v>50.134999999999991</v>
      </c>
      <c r="F32" s="40">
        <f t="shared" si="11"/>
        <v>61.757999999999996</v>
      </c>
      <c r="G32" s="31">
        <f t="shared" si="11"/>
        <v>49.106000000000002</v>
      </c>
      <c r="H32" s="40">
        <f t="shared" si="11"/>
        <v>60.323999999999998</v>
      </c>
      <c r="I32" s="31">
        <f t="shared" si="11"/>
        <v>225.441</v>
      </c>
      <c r="J32" s="40">
        <f t="shared" si="11"/>
        <v>269.178</v>
      </c>
      <c r="K32" s="31">
        <f t="shared" si="11"/>
        <v>1541.018</v>
      </c>
      <c r="L32" s="40">
        <f t="shared" si="11"/>
        <v>1862.46</v>
      </c>
      <c r="M32" s="31">
        <f t="shared" si="11"/>
        <v>100.208</v>
      </c>
      <c r="N32" s="40">
        <f t="shared" si="11"/>
        <v>122.746</v>
      </c>
      <c r="O32" s="5"/>
      <c r="P32" s="132"/>
      <c r="Q32" s="5"/>
      <c r="R32" s="5"/>
      <c r="S32" s="5"/>
      <c r="T32" s="5"/>
      <c r="U32" s="5"/>
      <c r="V32" s="133"/>
      <c r="W32" s="5"/>
      <c r="X32" s="5"/>
      <c r="Y32" s="5"/>
      <c r="Z32" s="5"/>
    </row>
    <row r="33" spans="1:26" x14ac:dyDescent="0.25">
      <c r="A33" s="26"/>
      <c r="B33" s="106" t="s">
        <v>174</v>
      </c>
      <c r="C33" s="105"/>
      <c r="D33" s="105"/>
      <c r="E33" s="108" t="s">
        <v>165</v>
      </c>
      <c r="F33" s="108" t="s">
        <v>166</v>
      </c>
      <c r="G33" s="108" t="s">
        <v>167</v>
      </c>
      <c r="H33" s="108" t="s">
        <v>168</v>
      </c>
      <c r="I33" s="108" t="s">
        <v>169</v>
      </c>
      <c r="J33" s="108" t="s">
        <v>170</v>
      </c>
      <c r="K33" s="108" t="s">
        <v>171</v>
      </c>
      <c r="L33" s="108" t="s">
        <v>172</v>
      </c>
      <c r="M33" s="108" t="s">
        <v>188</v>
      </c>
      <c r="N33" s="108" t="s">
        <v>189</v>
      </c>
      <c r="O33" s="5"/>
      <c r="P33" s="132"/>
      <c r="Q33" s="5"/>
      <c r="R33" s="5"/>
      <c r="S33" s="5"/>
      <c r="T33" s="5"/>
      <c r="U33" s="5"/>
      <c r="V33" s="67"/>
      <c r="W33" s="5"/>
      <c r="X33" s="5"/>
      <c r="Y33" s="5"/>
      <c r="Z33" s="5"/>
    </row>
    <row r="34" spans="1:26" x14ac:dyDescent="0.25">
      <c r="A34" s="53"/>
      <c r="B34" s="118"/>
      <c r="C34" s="61"/>
      <c r="D34" s="61"/>
      <c r="E34" s="119"/>
      <c r="F34" s="119"/>
      <c r="G34" s="119"/>
      <c r="H34" s="119"/>
      <c r="I34" s="119"/>
      <c r="J34" s="119"/>
      <c r="K34" s="119"/>
      <c r="L34" s="119"/>
      <c r="M34" s="135"/>
      <c r="N34" s="135"/>
      <c r="O34" s="5"/>
      <c r="P34" s="126"/>
      <c r="Q34" s="5"/>
      <c r="R34" s="5"/>
      <c r="S34" s="5"/>
      <c r="T34" s="5"/>
      <c r="U34" s="5"/>
      <c r="V34" s="111"/>
      <c r="W34" s="5"/>
    </row>
    <row r="35" spans="1:26" x14ac:dyDescent="0.25">
      <c r="A35" s="53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5"/>
      <c r="P35" s="126"/>
      <c r="Q35" s="5"/>
      <c r="R35" s="5"/>
      <c r="S35" s="5"/>
      <c r="T35" s="5"/>
      <c r="U35" s="5"/>
      <c r="V35" s="111"/>
      <c r="W35" s="5"/>
    </row>
    <row r="36" spans="1:26" x14ac:dyDescent="0.25">
      <c r="A36" s="5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5"/>
      <c r="P36" s="126"/>
      <c r="Q36" s="5"/>
      <c r="R36" s="5"/>
      <c r="S36" s="5"/>
      <c r="T36" s="5"/>
      <c r="U36" s="5"/>
      <c r="V36" s="111"/>
      <c r="W36" s="5"/>
    </row>
    <row r="37" spans="1:26" x14ac:dyDescent="0.25">
      <c r="A37" s="53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5"/>
      <c r="P37" s="127"/>
      <c r="Q37" s="5"/>
      <c r="R37" s="5"/>
      <c r="S37" s="5"/>
      <c r="T37" s="5"/>
      <c r="U37" s="5"/>
      <c r="V37" s="128"/>
      <c r="W37" s="5"/>
    </row>
    <row r="38" spans="1:26" x14ac:dyDescent="0.25">
      <c r="A38" s="53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5"/>
      <c r="P38" s="5"/>
      <c r="Q38" s="5"/>
      <c r="R38" s="5"/>
      <c r="S38" s="5"/>
      <c r="T38" s="5"/>
      <c r="U38" s="5"/>
      <c r="V38" s="5"/>
      <c r="W38" s="5"/>
    </row>
    <row r="39" spans="1:26" x14ac:dyDescent="0.25">
      <c r="A39" s="53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5"/>
      <c r="P39" s="5"/>
      <c r="Q39" s="5"/>
      <c r="R39" s="5"/>
      <c r="S39" s="5"/>
      <c r="T39" s="5"/>
      <c r="U39" s="5"/>
      <c r="V39" s="5"/>
      <c r="W39" s="5"/>
    </row>
    <row r="40" spans="1:26" x14ac:dyDescent="0.25">
      <c r="A40" s="53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5"/>
      <c r="P40" s="5"/>
      <c r="Q40" s="5"/>
      <c r="R40" s="5"/>
      <c r="S40" s="5"/>
      <c r="T40" s="5"/>
      <c r="U40" s="5"/>
      <c r="V40" s="5"/>
      <c r="W40" s="5"/>
    </row>
    <row r="41" spans="1:26" x14ac:dyDescent="0.25">
      <c r="A41" s="53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5"/>
      <c r="P41" s="5"/>
      <c r="Q41" s="5"/>
      <c r="R41" s="5"/>
      <c r="S41" s="5"/>
      <c r="T41" s="5"/>
      <c r="U41" s="5"/>
      <c r="V41" s="5"/>
      <c r="W41" s="5"/>
    </row>
    <row r="42" spans="1:26" x14ac:dyDescent="0.25">
      <c r="A42" s="53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</row>
    <row r="43" spans="1:26" x14ac:dyDescent="0.25">
      <c r="A43" s="66"/>
      <c r="B43" s="66"/>
      <c r="C43" s="66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26" x14ac:dyDescent="0.25">
      <c r="A44" s="5"/>
      <c r="B44" s="5"/>
      <c r="C44" s="67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"/>
    </row>
    <row r="45" spans="1:26" x14ac:dyDescent="0.25">
      <c r="A45" s="5"/>
      <c r="B45" s="5"/>
      <c r="C45" s="67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"/>
    </row>
    <row r="46" spans="1:26" x14ac:dyDescent="0.25">
      <c r="A46" s="5"/>
      <c r="B46" s="5"/>
      <c r="C46" s="67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"/>
    </row>
    <row r="47" spans="1:26" x14ac:dyDescent="0.25">
      <c r="A47" s="5"/>
      <c r="B47" s="5"/>
      <c r="C47" s="67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"/>
    </row>
    <row r="48" spans="1:26" x14ac:dyDescent="0.25">
      <c r="A48" s="5"/>
      <c r="B48" s="5"/>
      <c r="C48" s="67"/>
      <c r="D48" s="5"/>
      <c r="I48" s="28"/>
      <c r="J48" s="28"/>
      <c r="K48" s="28"/>
      <c r="L48" s="28"/>
      <c r="M48" s="28"/>
      <c r="N48" s="28"/>
    </row>
    <row r="49" spans="1:4" x14ac:dyDescent="0.25">
      <c r="A49" s="5"/>
      <c r="B49" s="5"/>
      <c r="C49" s="67"/>
      <c r="D49" s="5"/>
    </row>
    <row r="50" spans="1:4" x14ac:dyDescent="0.25">
      <c r="A50" s="5"/>
      <c r="B50" s="5"/>
      <c r="C50" s="67"/>
      <c r="D50" s="5"/>
    </row>
    <row r="51" spans="1:4" x14ac:dyDescent="0.25">
      <c r="A51" s="5"/>
      <c r="B51" s="5"/>
      <c r="C51" s="67"/>
      <c r="D51" s="5"/>
    </row>
    <row r="52" spans="1:4" x14ac:dyDescent="0.25">
      <c r="A52" s="5"/>
      <c r="B52" s="5"/>
      <c r="C52" s="67"/>
      <c r="D52" s="5"/>
    </row>
    <row r="53" spans="1:4" x14ac:dyDescent="0.25">
      <c r="A53" s="5"/>
      <c r="B53" s="5"/>
      <c r="C53" s="67"/>
      <c r="D53" s="5"/>
    </row>
    <row r="54" spans="1:4" x14ac:dyDescent="0.25">
      <c r="A54" s="5"/>
      <c r="B54" s="5"/>
      <c r="C54" s="67"/>
      <c r="D54" s="5"/>
    </row>
    <row r="55" spans="1:4" x14ac:dyDescent="0.25">
      <c r="A55" s="5"/>
      <c r="B55" s="5"/>
      <c r="C55" s="67"/>
      <c r="D55" s="5"/>
    </row>
    <row r="56" spans="1:4" x14ac:dyDescent="0.25">
      <c r="A56" s="5"/>
      <c r="B56" s="5"/>
      <c r="C56" s="67"/>
      <c r="D56" s="5"/>
    </row>
    <row r="57" spans="1:4" x14ac:dyDescent="0.25">
      <c r="A57" s="5"/>
      <c r="B57" s="5"/>
      <c r="C57" s="67"/>
      <c r="D57" s="5"/>
    </row>
    <row r="58" spans="1:4" x14ac:dyDescent="0.25">
      <c r="A58" s="5"/>
      <c r="B58" s="5"/>
      <c r="C58" s="67"/>
      <c r="D58" s="5"/>
    </row>
    <row r="59" spans="1:4" x14ac:dyDescent="0.25">
      <c r="A59" s="5"/>
      <c r="B59" s="5"/>
      <c r="C59" s="67"/>
      <c r="D59" s="5"/>
    </row>
    <row r="60" spans="1:4" x14ac:dyDescent="0.25">
      <c r="A60" s="5"/>
      <c r="B60" s="5"/>
      <c r="C60" s="67"/>
      <c r="D60" s="5"/>
    </row>
    <row r="61" spans="1:4" x14ac:dyDescent="0.25">
      <c r="A61" s="5"/>
      <c r="B61" s="5"/>
      <c r="C61" s="67"/>
      <c r="D61" s="5"/>
    </row>
    <row r="62" spans="1:4" x14ac:dyDescent="0.25">
      <c r="A62" s="5"/>
      <c r="B62" s="5"/>
      <c r="C62" s="67"/>
      <c r="D62" s="5"/>
    </row>
    <row r="63" spans="1:4" x14ac:dyDescent="0.25">
      <c r="A63" s="5"/>
      <c r="B63" s="5"/>
      <c r="C63" s="67"/>
      <c r="D63" s="5"/>
    </row>
    <row r="64" spans="1:4" x14ac:dyDescent="0.25">
      <c r="A64" s="5"/>
      <c r="B64" s="5"/>
      <c r="C64" s="67"/>
      <c r="D64" s="5"/>
    </row>
    <row r="65" spans="1:4" x14ac:dyDescent="0.25">
      <c r="A65" s="5"/>
      <c r="B65" s="5"/>
      <c r="C65" s="67"/>
      <c r="D65" s="5"/>
    </row>
    <row r="66" spans="1:4" x14ac:dyDescent="0.25">
      <c r="A66" s="5"/>
      <c r="B66" s="5"/>
      <c r="C66" s="67"/>
      <c r="D66" s="5"/>
    </row>
    <row r="67" spans="1:4" x14ac:dyDescent="0.25">
      <c r="A67" s="5"/>
      <c r="B67" s="5"/>
      <c r="C67" s="67"/>
      <c r="D67" s="5"/>
    </row>
    <row r="68" spans="1:4" x14ac:dyDescent="0.25">
      <c r="A68" s="5"/>
      <c r="B68" s="5"/>
      <c r="C68" s="67"/>
      <c r="D68" s="5"/>
    </row>
    <row r="69" spans="1:4" x14ac:dyDescent="0.25">
      <c r="A69" s="5"/>
      <c r="B69" s="5"/>
      <c r="C69" s="67"/>
      <c r="D69" s="5"/>
    </row>
    <row r="70" spans="1:4" x14ac:dyDescent="0.25">
      <c r="A70" s="5"/>
      <c r="B70" s="5"/>
      <c r="C70" s="5"/>
    </row>
    <row r="71" spans="1:4" x14ac:dyDescent="0.25">
      <c r="A71" s="5"/>
      <c r="B71" s="5"/>
      <c r="C71" s="5"/>
    </row>
    <row r="72" spans="1:4" x14ac:dyDescent="0.25">
      <c r="A72" s="5"/>
      <c r="B72" s="5"/>
      <c r="C72" s="5"/>
    </row>
    <row r="73" spans="1:4" x14ac:dyDescent="0.25">
      <c r="A73" s="5"/>
      <c r="B73" s="5"/>
      <c r="C73" s="5"/>
    </row>
    <row r="74" spans="1:4" x14ac:dyDescent="0.25">
      <c r="A74" s="5"/>
      <c r="B74" s="5"/>
      <c r="C74" s="5"/>
    </row>
  </sheetData>
  <mergeCells count="18">
    <mergeCell ref="A1:B1"/>
    <mergeCell ref="C1:H1"/>
    <mergeCell ref="A2:B2"/>
    <mergeCell ref="C2:H2"/>
    <mergeCell ref="A3:A5"/>
    <mergeCell ref="B3:B5"/>
    <mergeCell ref="C3:D4"/>
    <mergeCell ref="E3:J3"/>
    <mergeCell ref="A11:N11"/>
    <mergeCell ref="A14:N14"/>
    <mergeCell ref="A25:N25"/>
    <mergeCell ref="A31:N31"/>
    <mergeCell ref="K3:L4"/>
    <mergeCell ref="M3:N4"/>
    <mergeCell ref="E4:F4"/>
    <mergeCell ref="G4:H4"/>
    <mergeCell ref="I4:J4"/>
    <mergeCell ref="A6:N6"/>
  </mergeCells>
  <pageMargins left="0.32291666666666669" right="0.7" top="0.21875" bottom="0.44791666666666669" header="0.3" footer="0.3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Меню по дням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  <vt:lpstr>'день 2'!Область_печати</vt:lpstr>
      <vt:lpstr>'Меню по дням'!Область_печати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2024-05-23T09:24:13Z</dcterms:modified>
</cp:coreProperties>
</file>